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heckCompatibility="1" defaultThemeVersion="124226"/>
  <bookViews>
    <workbookView xWindow="-120" yWindow="-120" windowWidth="24240" windowHeight="13020" tabRatio="721" firstSheet="3" activeTab="5"/>
  </bookViews>
  <sheets>
    <sheet name="เงินกัน ปี 2568" sheetId="39" r:id="rId1"/>
    <sheet name="สรุปทุกงบ (ทิพย์ 25- 09-68)" sheetId="33" state="hidden" r:id="rId2"/>
    <sheet name="เป้าหมายเบิกจ่าย 68" sheetId="30" state="hidden" r:id="rId3"/>
    <sheet name="ปะหน้าประเด็น" sheetId="26" r:id="rId4"/>
    <sheet name="เบิกจ่ายงบจว." sheetId="35" state="hidden" r:id="rId5"/>
    <sheet name="แบบ 01-68 (30-09- 68) (FINAL" sheetId="38" r:id="rId6"/>
    <sheet name="สนง.การท่องเที่ยว ปี 68" sheetId="25" state="hidden" r:id="rId7"/>
    <sheet name="Sheet6" sheetId="37" state="hidden" r:id="rId8"/>
    <sheet name="Sheet5" sheetId="36" state="hidden" r:id="rId9"/>
    <sheet name="Sheet3" sheetId="31" state="hidden" r:id="rId10"/>
    <sheet name="ตัวอย่าง แบบ 01-68" sheetId="17" r:id="rId11"/>
    <sheet name="แบบ 02-68 " sheetId="18" r:id="rId12"/>
    <sheet name="ตัวอย่าง แบบ 02-68" sheetId="21" r:id="rId13"/>
    <sheet name="Sheet4" sheetId="32" state="hidden" r:id="rId14"/>
    <sheet name="แบบปรับใหม่ 62.1 (2)" sheetId="10" state="hidden" r:id="rId15"/>
    <sheet name="แบบปรับใหม่ 62.1" sheetId="7" state="hidden" r:id="rId16"/>
    <sheet name="เกษตรปลอดภัย" sheetId="27" state="hidden" r:id="rId17"/>
    <sheet name="Sheet1" sheetId="28" r:id="rId18"/>
    <sheet name="Sheet2" sheetId="29" r:id="rId19"/>
  </sheets>
  <externalReferences>
    <externalReference r:id="rId20"/>
  </externalReferences>
  <definedNames>
    <definedName name="_xlnm._FilterDatabase" localSheetId="5" hidden="1">'แบบ 01-68 (30-09- 68) (FINAL'!$D$1:$D$121</definedName>
    <definedName name="_xlnm._FilterDatabase" localSheetId="15" hidden="1">'แบบปรับใหม่ 62.1'!$J$1:$J$119</definedName>
    <definedName name="_xlnm.Print_Area" localSheetId="0">'เงินกัน ปี 2568'!$A$1:$AC$124</definedName>
    <definedName name="_xlnm.Print_Area" localSheetId="4">เบิกจ่ายงบจว.!$A$1:$P$42</definedName>
    <definedName name="_xlnm.Print_Area" localSheetId="5">'แบบ 01-68 (30-09- 68) (FINAL'!$A$1:$BT$97</definedName>
    <definedName name="_xlnm.Print_Area" localSheetId="3">ปะหน้าประเด็น!$A$1:$AC$124</definedName>
    <definedName name="_xlnm.Print_Area" localSheetId="6">'สนง.การท่องเที่ยว ปี 68'!$A$1:$S$22</definedName>
    <definedName name="_xlnm.Print_Titles" localSheetId="0">'เงินกัน ปี 2568'!$4:$6</definedName>
    <definedName name="_xlnm.Print_Titles" localSheetId="4">เบิกจ่ายงบจว.!$5:$7</definedName>
    <definedName name="_xlnm.Print_Titles" localSheetId="5">'แบบ 01-68 (30-09- 68) (FINAL'!$3:$5</definedName>
    <definedName name="_xlnm.Print_Titles" localSheetId="15">'แบบปรับใหม่ 62.1'!$5:$6</definedName>
    <definedName name="_xlnm.Print_Titles" localSheetId="14">'แบบปรับใหม่ 62.1 (2)'!$5:$6</definedName>
    <definedName name="_xlnm.Print_Titles" localSheetId="3">ปะหน้าประเด็น!$4:$6</definedName>
    <definedName name="_xlnm.Print_Titles" localSheetId="6">'สนง.การท่องเที่ยว ปี 68'!$5:$7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92" i="38" l="1"/>
  <c r="AN61" i="38" l="1"/>
  <c r="H21" i="18" l="1"/>
  <c r="H18" i="18"/>
  <c r="F9" i="18"/>
  <c r="F23" i="18"/>
  <c r="H14" i="18"/>
  <c r="H13" i="18" s="1"/>
  <c r="H11" i="18"/>
  <c r="F13" i="18"/>
  <c r="F17" i="18"/>
  <c r="H17" i="18" s="1"/>
  <c r="C17" i="18"/>
  <c r="F20" i="18"/>
  <c r="F32" i="18" s="1"/>
  <c r="H32" i="18" s="1"/>
  <c r="C20" i="18"/>
  <c r="C13" i="18"/>
  <c r="F11" i="18"/>
  <c r="C11" i="18"/>
  <c r="C9" i="18"/>
  <c r="C23" i="18"/>
  <c r="H12" i="18"/>
  <c r="H10" i="18"/>
  <c r="H9" i="18" s="1"/>
  <c r="H20" i="18" l="1"/>
  <c r="AF51" i="38" l="1"/>
  <c r="AF45" i="38" s="1"/>
  <c r="S62" i="38"/>
  <c r="U62" i="38" s="1"/>
  <c r="AB60" i="38" l="1"/>
  <c r="Y60" i="38"/>
  <c r="AB33" i="38" l="1"/>
  <c r="Y33" i="38" s="1"/>
  <c r="R119" i="39" l="1"/>
  <c r="S117" i="39" s="1"/>
  <c r="E119" i="39"/>
  <c r="F117" i="39" s="1"/>
  <c r="W118" i="39"/>
  <c r="Y118" i="39" s="1"/>
  <c r="Z118" i="39" s="1"/>
  <c r="U118" i="39"/>
  <c r="V118" i="39" s="1"/>
  <c r="S118" i="39"/>
  <c r="F118" i="39"/>
  <c r="AI117" i="39"/>
  <c r="AC113" i="39"/>
  <c r="R113" i="39"/>
  <c r="E113" i="39"/>
  <c r="W112" i="39"/>
  <c r="W113" i="39" s="1"/>
  <c r="S109" i="39"/>
  <c r="B109" i="39"/>
  <c r="F109" i="39" s="1"/>
  <c r="Y109" i="39" s="1"/>
  <c r="W108" i="39"/>
  <c r="S108" i="39"/>
  <c r="Q108" i="39"/>
  <c r="F108" i="39"/>
  <c r="R107" i="39"/>
  <c r="S107" i="39" s="1"/>
  <c r="Q107" i="39"/>
  <c r="E107" i="39"/>
  <c r="W107" i="39" s="1"/>
  <c r="Q96" i="39"/>
  <c r="D96" i="39"/>
  <c r="Q91" i="39"/>
  <c r="S90" i="39"/>
  <c r="F90" i="39"/>
  <c r="Y89" i="39"/>
  <c r="W89" i="39"/>
  <c r="W87" i="39" s="1"/>
  <c r="S89" i="39"/>
  <c r="Q89" i="39"/>
  <c r="N89" i="39"/>
  <c r="N87" i="39" s="1"/>
  <c r="F89" i="39"/>
  <c r="D89" i="39"/>
  <c r="S88" i="39"/>
  <c r="S87" i="39" s="1"/>
  <c r="F88" i="39"/>
  <c r="F87" i="39" s="1"/>
  <c r="R87" i="39"/>
  <c r="Q87" i="39"/>
  <c r="E87" i="39"/>
  <c r="D87" i="39"/>
  <c r="S86" i="39"/>
  <c r="F86" i="39"/>
  <c r="Y85" i="39"/>
  <c r="W85" i="39"/>
  <c r="S85" i="39"/>
  <c r="R85" i="39"/>
  <c r="Q85" i="39"/>
  <c r="N85" i="39"/>
  <c r="F85" i="39"/>
  <c r="E85" i="39"/>
  <c r="D85" i="39"/>
  <c r="S84" i="39"/>
  <c r="S83" i="39" s="1"/>
  <c r="F84" i="39"/>
  <c r="F83" i="39" s="1"/>
  <c r="Y83" i="39"/>
  <c r="W83" i="39"/>
  <c r="R83" i="39"/>
  <c r="Q83" i="39"/>
  <c r="N83" i="39"/>
  <c r="E83" i="39"/>
  <c r="D83" i="39"/>
  <c r="S82" i="39"/>
  <c r="F82" i="39"/>
  <c r="S81" i="39"/>
  <c r="F81" i="39"/>
  <c r="F80" i="39" s="1"/>
  <c r="W80" i="39"/>
  <c r="S80" i="39"/>
  <c r="R80" i="39"/>
  <c r="Q80" i="39"/>
  <c r="N80" i="39"/>
  <c r="E80" i="39"/>
  <c r="D80" i="39"/>
  <c r="AI79" i="39"/>
  <c r="X79" i="39"/>
  <c r="V79" i="39"/>
  <c r="U79" i="39"/>
  <c r="S79" i="39"/>
  <c r="P79" i="39"/>
  <c r="M79" i="39"/>
  <c r="L79" i="39"/>
  <c r="K79" i="39"/>
  <c r="J79" i="39"/>
  <c r="I79" i="39"/>
  <c r="H79" i="39"/>
  <c r="G79" i="39"/>
  <c r="AA78" i="39"/>
  <c r="S78" i="39"/>
  <c r="F78" i="39"/>
  <c r="AA77" i="39"/>
  <c r="S77" i="39"/>
  <c r="F77" i="39"/>
  <c r="Y77" i="39" s="1"/>
  <c r="AG76" i="39"/>
  <c r="AA76" i="39"/>
  <c r="S76" i="39"/>
  <c r="F76" i="39"/>
  <c r="X76" i="39" s="1"/>
  <c r="AA75" i="39"/>
  <c r="S75" i="39"/>
  <c r="F75" i="39"/>
  <c r="X75" i="39" s="1"/>
  <c r="AG75" i="39" s="1"/>
  <c r="AA74" i="39"/>
  <c r="S74" i="39"/>
  <c r="F74" i="39"/>
  <c r="Y74" i="39" s="1"/>
  <c r="AA73" i="39"/>
  <c r="S73" i="39"/>
  <c r="F73" i="39"/>
  <c r="Y73" i="39" s="1"/>
  <c r="AA72" i="39"/>
  <c r="S72" i="39"/>
  <c r="F72" i="39"/>
  <c r="Y72" i="39" s="1"/>
  <c r="AA71" i="39"/>
  <c r="S71" i="39"/>
  <c r="F71" i="39"/>
  <c r="Y71" i="39" s="1"/>
  <c r="AA70" i="39"/>
  <c r="S70" i="39"/>
  <c r="F70" i="39"/>
  <c r="Y70" i="39" s="1"/>
  <c r="AA69" i="39"/>
  <c r="S69" i="39"/>
  <c r="F69" i="39"/>
  <c r="Y69" i="39" s="1"/>
  <c r="AA68" i="39"/>
  <c r="W68" i="39"/>
  <c r="S68" i="39"/>
  <c r="N68" i="39"/>
  <c r="N64" i="39" s="1"/>
  <c r="F68" i="39"/>
  <c r="Y68" i="39" s="1"/>
  <c r="AA67" i="39"/>
  <c r="S67" i="39"/>
  <c r="F67" i="39"/>
  <c r="Y67" i="39" s="1"/>
  <c r="AA66" i="39"/>
  <c r="S66" i="39"/>
  <c r="F66" i="39"/>
  <c r="Y66" i="39" s="1"/>
  <c r="AA65" i="39"/>
  <c r="S65" i="39"/>
  <c r="F65" i="39"/>
  <c r="AF64" i="39"/>
  <c r="AA64" i="39"/>
  <c r="W64" i="39"/>
  <c r="R64" i="39"/>
  <c r="Q64" i="39"/>
  <c r="E64" i="39"/>
  <c r="D64" i="39"/>
  <c r="AA63" i="39"/>
  <c r="Y63" i="39"/>
  <c r="X63" i="39"/>
  <c r="AG63" i="39" s="1"/>
  <c r="AF62" i="39"/>
  <c r="AA62" i="39"/>
  <c r="W62" i="39"/>
  <c r="W60" i="39" s="1"/>
  <c r="AC59" i="39" s="1"/>
  <c r="N62" i="39"/>
  <c r="N61" i="39" s="1"/>
  <c r="AA61" i="39"/>
  <c r="S61" i="39"/>
  <c r="F61" i="39"/>
  <c r="AA60" i="39"/>
  <c r="S60" i="39"/>
  <c r="R60" i="39"/>
  <c r="R58" i="39" s="1"/>
  <c r="Q60" i="39"/>
  <c r="F60" i="39"/>
  <c r="E60" i="39"/>
  <c r="E58" i="39" s="1"/>
  <c r="E56" i="39" s="1"/>
  <c r="D60" i="39"/>
  <c r="D58" i="39" s="1"/>
  <c r="AA59" i="39"/>
  <c r="Y59" i="39"/>
  <c r="X59" i="39"/>
  <c r="AG59" i="39" s="1"/>
  <c r="N59" i="39"/>
  <c r="AI58" i="39"/>
  <c r="U58" i="39"/>
  <c r="T58" i="39"/>
  <c r="AA57" i="39"/>
  <c r="S57" i="39"/>
  <c r="F57" i="39"/>
  <c r="Y57" i="39" s="1"/>
  <c r="AA56" i="39"/>
  <c r="S56" i="39"/>
  <c r="F56" i="39"/>
  <c r="AA55" i="39"/>
  <c r="S55" i="39"/>
  <c r="S54" i="39" s="1"/>
  <c r="F55" i="39"/>
  <c r="F54" i="39" s="1"/>
  <c r="AA54" i="39"/>
  <c r="W54" i="39"/>
  <c r="X54" i="39" s="1"/>
  <c r="AG54" i="39" s="1"/>
  <c r="R54" i="39"/>
  <c r="Q54" i="39"/>
  <c r="N54" i="39"/>
  <c r="E54" i="39"/>
  <c r="D54" i="39"/>
  <c r="AA53" i="39"/>
  <c r="S53" i="39"/>
  <c r="F53" i="39"/>
  <c r="X53" i="39" s="1"/>
  <c r="AG53" i="39" s="1"/>
  <c r="AA52" i="39"/>
  <c r="X52" i="39"/>
  <c r="AG52" i="39" s="1"/>
  <c r="S52" i="39"/>
  <c r="F52" i="39"/>
  <c r="Y52" i="39" s="1"/>
  <c r="AA51" i="39"/>
  <c r="S51" i="39"/>
  <c r="F51" i="39"/>
  <c r="Y51" i="39" s="1"/>
  <c r="AA50" i="39"/>
  <c r="S50" i="39"/>
  <c r="F50" i="39"/>
  <c r="Y50" i="39" s="1"/>
  <c r="AA49" i="39"/>
  <c r="W49" i="39"/>
  <c r="S49" i="39"/>
  <c r="N49" i="39"/>
  <c r="F49" i="39"/>
  <c r="AA48" i="39"/>
  <c r="X48" i="39"/>
  <c r="AG48" i="39" s="1"/>
  <c r="S48" i="39"/>
  <c r="F48" i="39"/>
  <c r="Y48" i="39" s="1"/>
  <c r="AA47" i="39"/>
  <c r="S47" i="39"/>
  <c r="F47" i="39"/>
  <c r="Y47" i="39" s="1"/>
  <c r="AA46" i="39"/>
  <c r="S46" i="39"/>
  <c r="F46" i="39"/>
  <c r="X46" i="39" s="1"/>
  <c r="AG46" i="39" s="1"/>
  <c r="AA45" i="39"/>
  <c r="S45" i="39"/>
  <c r="F45" i="39"/>
  <c r="Y45" i="39" s="1"/>
  <c r="AA44" i="39"/>
  <c r="W44" i="39"/>
  <c r="S44" i="39"/>
  <c r="F44" i="39"/>
  <c r="AA43" i="39"/>
  <c r="R43" i="39"/>
  <c r="Q43" i="39"/>
  <c r="E43" i="39"/>
  <c r="D43" i="39"/>
  <c r="AA42" i="39"/>
  <c r="S42" i="39"/>
  <c r="F42" i="39"/>
  <c r="Y42" i="39" s="1"/>
  <c r="AA41" i="39"/>
  <c r="S41" i="39"/>
  <c r="S40" i="39" s="1"/>
  <c r="F41" i="39"/>
  <c r="F40" i="39" s="1"/>
  <c r="AA40" i="39"/>
  <c r="W40" i="39"/>
  <c r="R40" i="39"/>
  <c r="Q40" i="39"/>
  <c r="N40" i="39"/>
  <c r="E40" i="39"/>
  <c r="D40" i="39"/>
  <c r="AA39" i="39"/>
  <c r="S39" i="39"/>
  <c r="F39" i="39"/>
  <c r="Y39" i="39" s="1"/>
  <c r="AA38" i="39"/>
  <c r="S38" i="39"/>
  <c r="F38" i="39"/>
  <c r="X38" i="39" s="1"/>
  <c r="AG38" i="39" s="1"/>
  <c r="AA37" i="39"/>
  <c r="Y37" i="39"/>
  <c r="X37" i="39"/>
  <c r="AG37" i="39" s="1"/>
  <c r="AA36" i="39"/>
  <c r="Y36" i="39"/>
  <c r="X36" i="39"/>
  <c r="AG36" i="39" s="1"/>
  <c r="AA35" i="39"/>
  <c r="Y35" i="39"/>
  <c r="X35" i="39"/>
  <c r="AG35" i="39" s="1"/>
  <c r="AA34" i="39"/>
  <c r="Y34" i="39"/>
  <c r="S34" i="39"/>
  <c r="F34" i="39"/>
  <c r="X34" i="39" s="1"/>
  <c r="AG34" i="39" s="1"/>
  <c r="AA33" i="39"/>
  <c r="W33" i="39"/>
  <c r="R33" i="39"/>
  <c r="Q33" i="39"/>
  <c r="N33" i="39"/>
  <c r="F33" i="39"/>
  <c r="E33" i="39"/>
  <c r="D33" i="39"/>
  <c r="AN32" i="39"/>
  <c r="AL32" i="39"/>
  <c r="AN58" i="39" s="1"/>
  <c r="AI32" i="39"/>
  <c r="U32" i="39"/>
  <c r="T32" i="39"/>
  <c r="S32" i="39"/>
  <c r="P32" i="39"/>
  <c r="AA31" i="39"/>
  <c r="Y31" i="39"/>
  <c r="S31" i="39"/>
  <c r="S30" i="39" s="1"/>
  <c r="F31" i="39"/>
  <c r="F30" i="39" s="1"/>
  <c r="Y30" i="39" s="1"/>
  <c r="AA30" i="39"/>
  <c r="W30" i="39"/>
  <c r="R30" i="39"/>
  <c r="E30" i="39"/>
  <c r="AA29" i="39"/>
  <c r="S29" i="39"/>
  <c r="F29" i="39"/>
  <c r="Y29" i="39" s="1"/>
  <c r="AA28" i="39"/>
  <c r="W28" i="39"/>
  <c r="AF27" i="39" s="1"/>
  <c r="S28" i="39"/>
  <c r="S27" i="39" s="1"/>
  <c r="F28" i="39"/>
  <c r="F27" i="39" s="1"/>
  <c r="AA27" i="39"/>
  <c r="R27" i="39"/>
  <c r="Q27" i="39"/>
  <c r="N27" i="39"/>
  <c r="E27" i="39"/>
  <c r="D27" i="39"/>
  <c r="AA26" i="39"/>
  <c r="S26" i="39"/>
  <c r="F26" i="39"/>
  <c r="Y26" i="39" s="1"/>
  <c r="AA25" i="39"/>
  <c r="S25" i="39"/>
  <c r="F25" i="39"/>
  <c r="Y25" i="39" s="1"/>
  <c r="AE24" i="39"/>
  <c r="AA24" i="39"/>
  <c r="S24" i="39"/>
  <c r="F24" i="39"/>
  <c r="AA23" i="39"/>
  <c r="S23" i="39"/>
  <c r="F23" i="39"/>
  <c r="AA22" i="39"/>
  <c r="W22" i="39"/>
  <c r="R22" i="39"/>
  <c r="Q22" i="39"/>
  <c r="N22" i="39"/>
  <c r="E22" i="39"/>
  <c r="E8" i="39" s="1"/>
  <c r="D22" i="39"/>
  <c r="D8" i="39" s="1"/>
  <c r="AA21" i="39"/>
  <c r="W21" i="39"/>
  <c r="X21" i="39" s="1"/>
  <c r="AG21" i="39" s="1"/>
  <c r="S21" i="39"/>
  <c r="F21" i="39"/>
  <c r="Y21" i="39" s="1"/>
  <c r="AA20" i="39"/>
  <c r="W20" i="39"/>
  <c r="X20" i="39" s="1"/>
  <c r="AG20" i="39" s="1"/>
  <c r="S20" i="39"/>
  <c r="N20" i="39"/>
  <c r="N17" i="39" s="1"/>
  <c r="F20" i="39"/>
  <c r="Y20" i="39" s="1"/>
  <c r="AA19" i="39"/>
  <c r="W19" i="39"/>
  <c r="S19" i="39"/>
  <c r="F19" i="39"/>
  <c r="Y19" i="39" s="1"/>
  <c r="AA18" i="39"/>
  <c r="W18" i="39"/>
  <c r="W17" i="39" s="1"/>
  <c r="S18" i="39"/>
  <c r="F18" i="39"/>
  <c r="AA17" i="39"/>
  <c r="R17" i="39"/>
  <c r="Q17" i="39"/>
  <c r="E17" i="39"/>
  <c r="D17" i="39"/>
  <c r="AA16" i="39"/>
  <c r="S16" i="39"/>
  <c r="F16" i="39"/>
  <c r="AA15" i="39"/>
  <c r="S15" i="39"/>
  <c r="F15" i="39"/>
  <c r="X15" i="39" s="1"/>
  <c r="AG15" i="39" s="1"/>
  <c r="AA14" i="39"/>
  <c r="W14" i="39"/>
  <c r="R14" i="39"/>
  <c r="Q14" i="39"/>
  <c r="N14" i="39"/>
  <c r="E14" i="39"/>
  <c r="D14" i="39"/>
  <c r="AA13" i="39"/>
  <c r="S13" i="39"/>
  <c r="F13" i="39"/>
  <c r="AA12" i="39"/>
  <c r="S12" i="39"/>
  <c r="F12" i="39"/>
  <c r="AA11" i="39"/>
  <c r="W11" i="39"/>
  <c r="R11" i="39"/>
  <c r="Q11" i="39"/>
  <c r="N11" i="39"/>
  <c r="E11" i="39"/>
  <c r="D11" i="39"/>
  <c r="AA10" i="39"/>
  <c r="S10" i="39"/>
  <c r="F10" i="39"/>
  <c r="Y10" i="39" s="1"/>
  <c r="AA9" i="39"/>
  <c r="W9" i="39"/>
  <c r="R9" i="39"/>
  <c r="Q9" i="39"/>
  <c r="S9" i="39" s="1"/>
  <c r="N9" i="39"/>
  <c r="E9" i="39"/>
  <c r="D9" i="39"/>
  <c r="F9" i="39" s="1"/>
  <c r="AI8" i="39"/>
  <c r="AF8" i="39"/>
  <c r="U8" i="39"/>
  <c r="V8" i="39" s="1"/>
  <c r="S8" i="39"/>
  <c r="AB8" i="39" s="1"/>
  <c r="P8" i="39"/>
  <c r="P7" i="39" s="1"/>
  <c r="AH7" i="39"/>
  <c r="R114" i="39" s="1"/>
  <c r="AA7" i="39"/>
  <c r="W7" i="39"/>
  <c r="AC112" i="39" s="1"/>
  <c r="Q7" i="39"/>
  <c r="N7" i="39"/>
  <c r="X73" i="39" l="1"/>
  <c r="AG73" i="39" s="1"/>
  <c r="X45" i="39"/>
  <c r="AG45" i="39" s="1"/>
  <c r="X77" i="39"/>
  <c r="AG77" i="39" s="1"/>
  <c r="X50" i="39"/>
  <c r="AG50" i="39" s="1"/>
  <c r="X11" i="39"/>
  <c r="AG11" i="39" s="1"/>
  <c r="S14" i="39"/>
  <c r="X51" i="39"/>
  <c r="AG51" i="39" s="1"/>
  <c r="N60" i="39"/>
  <c r="E114" i="39"/>
  <c r="AI7" i="39"/>
  <c r="S11" i="39"/>
  <c r="D107" i="39"/>
  <c r="X62" i="39"/>
  <c r="AG62" i="39" s="1"/>
  <c r="Y18" i="39"/>
  <c r="X72" i="39"/>
  <c r="AG72" i="39" s="1"/>
  <c r="Y62" i="39"/>
  <c r="W109" i="39"/>
  <c r="Z109" i="39" s="1"/>
  <c r="D32" i="39"/>
  <c r="X8" i="39"/>
  <c r="Y60" i="39"/>
  <c r="F11" i="39"/>
  <c r="Y11" i="39" s="1"/>
  <c r="Y75" i="39"/>
  <c r="F107" i="39"/>
  <c r="Y49" i="39"/>
  <c r="T7" i="39"/>
  <c r="Y46" i="39"/>
  <c r="Q109" i="39"/>
  <c r="Y15" i="39"/>
  <c r="Y8" i="39"/>
  <c r="AC8" i="39" s="1"/>
  <c r="Y54" i="39"/>
  <c r="F43" i="39"/>
  <c r="Y43" i="39" s="1"/>
  <c r="Y53" i="39"/>
  <c r="S33" i="39"/>
  <c r="S43" i="39"/>
  <c r="S64" i="39"/>
  <c r="D108" i="39"/>
  <c r="Y40" i="39"/>
  <c r="F14" i="39"/>
  <c r="Y14" i="39" s="1"/>
  <c r="Y38" i="39"/>
  <c r="X31" i="39"/>
  <c r="AG31" i="39" s="1"/>
  <c r="W43" i="39"/>
  <c r="Y76" i="39"/>
  <c r="Y9" i="39"/>
  <c r="E32" i="39"/>
  <c r="R91" i="39"/>
  <c r="R56" i="39"/>
  <c r="S58" i="39"/>
  <c r="S91" i="39" s="1"/>
  <c r="R7" i="39"/>
  <c r="Y33" i="39"/>
  <c r="F32" i="39"/>
  <c r="O32" i="39" s="1"/>
  <c r="N47" i="39"/>
  <c r="N44" i="39" s="1"/>
  <c r="N43" i="39" s="1"/>
  <c r="X13" i="39"/>
  <c r="AG13" i="39" s="1"/>
  <c r="Y13" i="39"/>
  <c r="X19" i="39"/>
  <c r="AG19" i="39" s="1"/>
  <c r="X47" i="39"/>
  <c r="AG47" i="39" s="1"/>
  <c r="X16" i="39"/>
  <c r="AG16" i="39" s="1"/>
  <c r="X28" i="39"/>
  <c r="AG28" i="39" s="1"/>
  <c r="X33" i="39"/>
  <c r="AG33" i="39" s="1"/>
  <c r="X41" i="39"/>
  <c r="AG41" i="39" s="1"/>
  <c r="X70" i="39"/>
  <c r="AG70" i="39" s="1"/>
  <c r="Y16" i="39"/>
  <c r="Y28" i="39"/>
  <c r="Y41" i="39"/>
  <c r="Y78" i="39"/>
  <c r="X78" i="39"/>
  <c r="AG78" i="39" s="1"/>
  <c r="X22" i="39"/>
  <c r="AG22" i="39" s="1"/>
  <c r="X44" i="39"/>
  <c r="AG44" i="39" s="1"/>
  <c r="X74" i="39"/>
  <c r="AG74" i="39" s="1"/>
  <c r="D79" i="39"/>
  <c r="X26" i="39"/>
  <c r="AG26" i="39" s="1"/>
  <c r="Y44" i="39"/>
  <c r="E79" i="39"/>
  <c r="E91" i="39" s="1"/>
  <c r="Y32" i="39"/>
  <c r="X32" i="39"/>
  <c r="X67" i="39"/>
  <c r="AG67" i="39" s="1"/>
  <c r="W119" i="39"/>
  <c r="F22" i="39"/>
  <c r="Y22" i="39" s="1"/>
  <c r="X29" i="39"/>
  <c r="AG29" i="39" s="1"/>
  <c r="V32" i="39"/>
  <c r="X39" i="39"/>
  <c r="AG39" i="39" s="1"/>
  <c r="X42" i="39"/>
  <c r="AG42" i="39" s="1"/>
  <c r="X71" i="39"/>
  <c r="AG71" i="39" s="1"/>
  <c r="S22" i="39"/>
  <c r="X55" i="39"/>
  <c r="AG55" i="39" s="1"/>
  <c r="X118" i="39"/>
  <c r="AC118" i="39" s="1"/>
  <c r="X23" i="39"/>
  <c r="AG23" i="39" s="1"/>
  <c r="AB32" i="39"/>
  <c r="Y55" i="39"/>
  <c r="W61" i="39"/>
  <c r="F79" i="39"/>
  <c r="O79" i="39" s="1"/>
  <c r="Y23" i="39"/>
  <c r="AF7" i="39"/>
  <c r="F17" i="39"/>
  <c r="Y17" i="39" s="1"/>
  <c r="Y81" i="39"/>
  <c r="Y80" i="39" s="1"/>
  <c r="S17" i="39"/>
  <c r="X30" i="39"/>
  <c r="AG30" i="39" s="1"/>
  <c r="X49" i="39"/>
  <c r="AG49" i="39" s="1"/>
  <c r="X68" i="39"/>
  <c r="AG68" i="39" s="1"/>
  <c r="F119" i="39"/>
  <c r="Y24" i="39"/>
  <c r="X24" i="39"/>
  <c r="AG24" i="39" s="1"/>
  <c r="Y56" i="39"/>
  <c r="X56" i="39"/>
  <c r="AG56" i="39" s="1"/>
  <c r="S119" i="39"/>
  <c r="Y12" i="39"/>
  <c r="X12" i="39"/>
  <c r="AG12" i="39" s="1"/>
  <c r="X18" i="39"/>
  <c r="AG18" i="39" s="1"/>
  <c r="W27" i="39"/>
  <c r="X27" i="39" s="1"/>
  <c r="AG27" i="39" s="1"/>
  <c r="X60" i="39"/>
  <c r="AG60" i="39" s="1"/>
  <c r="F64" i="39"/>
  <c r="Y64" i="39" s="1"/>
  <c r="Y65" i="39"/>
  <c r="X65" i="39"/>
  <c r="AG65" i="39" s="1"/>
  <c r="AB79" i="39"/>
  <c r="Y79" i="39"/>
  <c r="AC114" i="39"/>
  <c r="X9" i="39"/>
  <c r="AG9" i="39" s="1"/>
  <c r="X40" i="39"/>
  <c r="AG40" i="39" s="1"/>
  <c r="U7" i="39"/>
  <c r="X66" i="39"/>
  <c r="AG66" i="39" s="1"/>
  <c r="X69" i="39"/>
  <c r="AG69" i="39" s="1"/>
  <c r="X10" i="39"/>
  <c r="AG10" i="39" s="1"/>
  <c r="X25" i="39"/>
  <c r="AG25" i="39" s="1"/>
  <c r="X57" i="39"/>
  <c r="AG57" i="39" s="1"/>
  <c r="D7" i="39" l="1"/>
  <c r="X64" i="39"/>
  <c r="AG64" i="39" s="1"/>
  <c r="D109" i="39"/>
  <c r="X14" i="39"/>
  <c r="AG14" i="39" s="1"/>
  <c r="F58" i="39"/>
  <c r="O58" i="39" s="1"/>
  <c r="X17" i="39"/>
  <c r="AG17" i="39" s="1"/>
  <c r="E7" i="39"/>
  <c r="Y27" i="39"/>
  <c r="X43" i="39"/>
  <c r="AG43" i="39" s="1"/>
  <c r="AI2" i="39"/>
  <c r="U119" i="39"/>
  <c r="V7" i="39"/>
  <c r="X119" i="39"/>
  <c r="W117" i="39"/>
  <c r="Y61" i="39"/>
  <c r="X61" i="39"/>
  <c r="AG61" i="39" s="1"/>
  <c r="Y58" i="39"/>
  <c r="X58" i="39"/>
  <c r="AB58" i="39"/>
  <c r="D91" i="39"/>
  <c r="Z79" i="39"/>
  <c r="AG79" i="39" s="1"/>
  <c r="AC79" i="39"/>
  <c r="S7" i="39"/>
  <c r="AC32" i="39"/>
  <c r="Z32" i="39"/>
  <c r="AG32" i="39" s="1"/>
  <c r="V58" i="39"/>
  <c r="F8" i="39"/>
  <c r="Y117" i="39" l="1"/>
  <c r="X117" i="39"/>
  <c r="V119" i="39"/>
  <c r="U117" i="39"/>
  <c r="V117" i="39" s="1"/>
  <c r="F91" i="39"/>
  <c r="C100" i="39" s="1"/>
  <c r="F7" i="39"/>
  <c r="O8" i="39"/>
  <c r="Z8" i="39"/>
  <c r="AG8" i="39" s="1"/>
  <c r="Y7" i="39"/>
  <c r="AB7" i="39"/>
  <c r="X7" i="39"/>
  <c r="AC58" i="39"/>
  <c r="Z58" i="39"/>
  <c r="AG58" i="39" s="1"/>
  <c r="Z117" i="39" l="1"/>
  <c r="Y119" i="39"/>
  <c r="Z7" i="39"/>
  <c r="AG7" i="39" s="1"/>
  <c r="AH2" i="39"/>
  <c r="AL7" i="39"/>
  <c r="AC107" i="39"/>
  <c r="AC108" i="39" s="1"/>
  <c r="AC7" i="39"/>
  <c r="AC9" i="39"/>
  <c r="O7" i="39"/>
  <c r="Z119" i="39" l="1"/>
  <c r="AC119" i="39" s="1"/>
  <c r="W122" i="39"/>
  <c r="U79" i="26" l="1"/>
  <c r="U58" i="26"/>
  <c r="U32" i="26"/>
  <c r="U8" i="26"/>
  <c r="M29" i="35"/>
  <c r="K29" i="35" s="1"/>
  <c r="I29" i="35"/>
  <c r="K30" i="35"/>
  <c r="I21" i="35"/>
  <c r="K21" i="35"/>
  <c r="I26" i="35"/>
  <c r="I24" i="35"/>
  <c r="I19" i="35"/>
  <c r="S52" i="38"/>
  <c r="U52" i="38" s="1"/>
  <c r="S60" i="38"/>
  <c r="H3" i="36"/>
  <c r="H10" i="36" s="1"/>
  <c r="I3" i="36"/>
  <c r="F10" i="36"/>
  <c r="F3" i="36"/>
  <c r="D10" i="36"/>
  <c r="D3" i="36"/>
  <c r="E3" i="36"/>
  <c r="E6" i="36" s="1"/>
  <c r="B8" i="36"/>
  <c r="B10" i="36" s="1"/>
  <c r="C8" i="36"/>
  <c r="D14" i="36" l="1"/>
  <c r="K19" i="35"/>
  <c r="K18" i="35"/>
  <c r="I11" i="35"/>
  <c r="Y93" i="38"/>
  <c r="AC93" i="38" s="1"/>
  <c r="AC92" i="38" s="1"/>
  <c r="AB65" i="38"/>
  <c r="AB66" i="38"/>
  <c r="Y78" i="38"/>
  <c r="AB78" i="38"/>
  <c r="Y10" i="38"/>
  <c r="AD33" i="38" l="1"/>
  <c r="J7" i="33"/>
  <c r="F7" i="33"/>
  <c r="I7" i="33"/>
  <c r="I9" i="33" l="1"/>
  <c r="C8" i="33"/>
  <c r="D8" i="33" s="1"/>
  <c r="AB32" i="26" l="1"/>
  <c r="AB8" i="26"/>
  <c r="Q7" i="26"/>
  <c r="S79" i="26"/>
  <c r="S32" i="26"/>
  <c r="S8" i="26"/>
  <c r="R119" i="26"/>
  <c r="S118" i="26" s="1"/>
  <c r="S117" i="26"/>
  <c r="S119" i="26" s="1"/>
  <c r="R113" i="26"/>
  <c r="S109" i="26"/>
  <c r="S108" i="26"/>
  <c r="Q108" i="26"/>
  <c r="R107" i="26"/>
  <c r="S107" i="26" s="1"/>
  <c r="Q107" i="26"/>
  <c r="Q109" i="26" s="1"/>
  <c r="Q96" i="26"/>
  <c r="S90" i="26"/>
  <c r="S89" i="26" s="1"/>
  <c r="Q89" i="26"/>
  <c r="S88" i="26"/>
  <c r="S87" i="26" s="1"/>
  <c r="R87" i="26"/>
  <c r="Q87" i="26"/>
  <c r="S86" i="26"/>
  <c r="S85" i="26" s="1"/>
  <c r="R85" i="26"/>
  <c r="Q85" i="26"/>
  <c r="S84" i="26"/>
  <c r="S83" i="26" s="1"/>
  <c r="R83" i="26"/>
  <c r="Q83" i="26"/>
  <c r="S82" i="26"/>
  <c r="S81" i="26"/>
  <c r="S80" i="26"/>
  <c r="R80" i="26"/>
  <c r="Q80" i="26"/>
  <c r="S78" i="26"/>
  <c r="S77" i="26"/>
  <c r="S76" i="26"/>
  <c r="S75" i="26"/>
  <c r="S74" i="26"/>
  <c r="S73" i="26"/>
  <c r="S72" i="26"/>
  <c r="S71" i="26"/>
  <c r="S70" i="26"/>
  <c r="S69" i="26"/>
  <c r="S68" i="26"/>
  <c r="S67" i="26"/>
  <c r="S66" i="26"/>
  <c r="S65" i="26"/>
  <c r="R64" i="26"/>
  <c r="Q64" i="26"/>
  <c r="S61" i="26"/>
  <c r="S60" i="26" s="1"/>
  <c r="R60" i="26"/>
  <c r="Q60" i="26"/>
  <c r="S57" i="26"/>
  <c r="S56" i="26"/>
  <c r="S55" i="26"/>
  <c r="S54" i="26" s="1"/>
  <c r="R54" i="26"/>
  <c r="Q54" i="26"/>
  <c r="S53" i="26"/>
  <c r="S52" i="26"/>
  <c r="S51" i="26"/>
  <c r="S50" i="26"/>
  <c r="S49" i="26"/>
  <c r="S48" i="26"/>
  <c r="S47" i="26"/>
  <c r="S46" i="26"/>
  <c r="S45" i="26"/>
  <c r="S44" i="26"/>
  <c r="S43" i="26"/>
  <c r="R43" i="26"/>
  <c r="Q43" i="26"/>
  <c r="S42" i="26"/>
  <c r="S41" i="26"/>
  <c r="S40" i="26" s="1"/>
  <c r="R40" i="26"/>
  <c r="Q40" i="26"/>
  <c r="S39" i="26"/>
  <c r="S33" i="26" s="1"/>
  <c r="S38" i="26"/>
  <c r="S34" i="26"/>
  <c r="R33" i="26"/>
  <c r="Q33" i="26"/>
  <c r="S31" i="26"/>
  <c r="S30" i="26" s="1"/>
  <c r="R30" i="26"/>
  <c r="S29" i="26"/>
  <c r="S28" i="26"/>
  <c r="R27" i="26"/>
  <c r="Q27" i="26"/>
  <c r="S26" i="26"/>
  <c r="S25" i="26"/>
  <c r="S24" i="26"/>
  <c r="S23" i="26"/>
  <c r="S22" i="26" s="1"/>
  <c r="R22" i="26"/>
  <c r="Q22" i="26"/>
  <c r="S21" i="26"/>
  <c r="S20" i="26"/>
  <c r="S19" i="26"/>
  <c r="S18" i="26"/>
  <c r="R17" i="26"/>
  <c r="Q17" i="26"/>
  <c r="S16" i="26"/>
  <c r="S15" i="26"/>
  <c r="S14" i="26" s="1"/>
  <c r="R14" i="26"/>
  <c r="Q14" i="26"/>
  <c r="S13" i="26"/>
  <c r="S12" i="26"/>
  <c r="R11" i="26"/>
  <c r="Q11" i="26"/>
  <c r="S10" i="26"/>
  <c r="R9" i="26"/>
  <c r="Q9" i="26"/>
  <c r="K5" i="30"/>
  <c r="K4" i="30"/>
  <c r="I5" i="30"/>
  <c r="I4" i="30"/>
  <c r="K13" i="33"/>
  <c r="I34" i="35"/>
  <c r="Q10" i="35"/>
  <c r="U60" i="38"/>
  <c r="U91" i="38"/>
  <c r="U89" i="38"/>
  <c r="U87" i="38"/>
  <c r="U32" i="38"/>
  <c r="U31" i="38"/>
  <c r="U30" i="38"/>
  <c r="U29" i="38"/>
  <c r="U28" i="38"/>
  <c r="U27" i="38"/>
  <c r="U96" i="38"/>
  <c r="U74" i="38"/>
  <c r="U78" i="38"/>
  <c r="U81" i="38"/>
  <c r="U66" i="38"/>
  <c r="U54" i="38"/>
  <c r="U37" i="38"/>
  <c r="U38" i="38"/>
  <c r="S10" i="38"/>
  <c r="U12" i="38"/>
  <c r="AB63" i="38"/>
  <c r="U88" i="38"/>
  <c r="Y89" i="38"/>
  <c r="J60" i="38"/>
  <c r="AD60" i="38" s="1"/>
  <c r="H39" i="38"/>
  <c r="H36" i="38" s="1"/>
  <c r="H35" i="38" s="1"/>
  <c r="H40" i="38"/>
  <c r="J40" i="38" s="1"/>
  <c r="AG40" i="38" s="1"/>
  <c r="H41" i="38"/>
  <c r="J41" i="38" s="1"/>
  <c r="AG41" i="38" s="1"/>
  <c r="H48" i="38"/>
  <c r="J48" i="38" s="1"/>
  <c r="AG48" i="38" s="1"/>
  <c r="H49" i="38"/>
  <c r="J49" i="38" s="1"/>
  <c r="AG49" i="38" s="1"/>
  <c r="I57" i="38"/>
  <c r="J57" i="38" s="1"/>
  <c r="T57" i="38" s="1"/>
  <c r="J59" i="38"/>
  <c r="I59" i="38"/>
  <c r="H11" i="38"/>
  <c r="H10" i="38"/>
  <c r="K7" i="38"/>
  <c r="L7" i="38"/>
  <c r="M7" i="38"/>
  <c r="N7" i="38"/>
  <c r="O7" i="38"/>
  <c r="P7" i="38"/>
  <c r="Q7" i="38"/>
  <c r="R7" i="38"/>
  <c r="J32" i="38"/>
  <c r="J33" i="38"/>
  <c r="J31" i="38"/>
  <c r="F92" i="38"/>
  <c r="G92" i="38"/>
  <c r="E92" i="38"/>
  <c r="G90" i="38"/>
  <c r="F90" i="38"/>
  <c r="E90" i="38"/>
  <c r="G88" i="38"/>
  <c r="F88" i="38"/>
  <c r="E88" i="38"/>
  <c r="E86" i="38"/>
  <c r="G85" i="38"/>
  <c r="G84" i="38"/>
  <c r="G83" i="38" s="1"/>
  <c r="F83" i="38"/>
  <c r="F82" i="38" s="1"/>
  <c r="E83" i="38"/>
  <c r="G81" i="38"/>
  <c r="G80" i="38"/>
  <c r="G79" i="38"/>
  <c r="G78" i="38"/>
  <c r="G77" i="38"/>
  <c r="G76" i="38"/>
  <c r="G74" i="38"/>
  <c r="G73" i="38"/>
  <c r="G72" i="38"/>
  <c r="E67" i="38"/>
  <c r="G70" i="38"/>
  <c r="G69" i="38"/>
  <c r="G68" i="38"/>
  <c r="F67" i="38"/>
  <c r="G63" i="38"/>
  <c r="F63" i="38"/>
  <c r="E63" i="38"/>
  <c r="G58" i="38"/>
  <c r="G56" i="38"/>
  <c r="F56" i="38"/>
  <c r="E56" i="38"/>
  <c r="G55" i="38"/>
  <c r="G53" i="38"/>
  <c r="E52" i="38"/>
  <c r="G52" i="38" s="1"/>
  <c r="E51" i="38"/>
  <c r="G50" i="38"/>
  <c r="E46" i="38"/>
  <c r="G47" i="38"/>
  <c r="F45" i="38"/>
  <c r="G42" i="38"/>
  <c r="F42" i="38"/>
  <c r="E42" i="38"/>
  <c r="G41" i="38"/>
  <c r="G36" i="38"/>
  <c r="E36" i="38"/>
  <c r="F35" i="38"/>
  <c r="E35" i="38"/>
  <c r="G30" i="38"/>
  <c r="G29" i="38" s="1"/>
  <c r="F29" i="38"/>
  <c r="G28" i="38"/>
  <c r="G27" i="38"/>
  <c r="G26" i="38"/>
  <c r="F26" i="38"/>
  <c r="E26" i="38"/>
  <c r="G25" i="38"/>
  <c r="G24" i="38"/>
  <c r="G23" i="38"/>
  <c r="G22" i="38"/>
  <c r="G21" i="38" s="1"/>
  <c r="F21" i="38"/>
  <c r="E21" i="38"/>
  <c r="G20" i="38"/>
  <c r="G19" i="38"/>
  <c r="G18" i="38"/>
  <c r="G17" i="38"/>
  <c r="G16" i="38" s="1"/>
  <c r="F16" i="38"/>
  <c r="E16" i="38"/>
  <c r="G15" i="38"/>
  <c r="G14" i="38"/>
  <c r="F13" i="38"/>
  <c r="E13" i="38"/>
  <c r="G12" i="38"/>
  <c r="G11" i="38"/>
  <c r="G10" i="38" s="1"/>
  <c r="F10" i="38"/>
  <c r="E10" i="38"/>
  <c r="G8" i="38"/>
  <c r="F8" i="38"/>
  <c r="F7" i="38" s="1"/>
  <c r="E8" i="38"/>
  <c r="X7" i="38"/>
  <c r="Z7" i="38"/>
  <c r="AA7" i="38"/>
  <c r="AE7" i="38"/>
  <c r="S65" i="38"/>
  <c r="Y63" i="38"/>
  <c r="Y95" i="38"/>
  <c r="S95" i="38" s="1"/>
  <c r="U95" i="38" s="1"/>
  <c r="Y92" i="38"/>
  <c r="J93" i="38"/>
  <c r="V92" i="38"/>
  <c r="H92" i="38"/>
  <c r="Y91" i="38"/>
  <c r="Y90" i="38" s="1"/>
  <c r="AC90" i="38" s="1"/>
  <c r="J91" i="38"/>
  <c r="J90" i="38" s="1"/>
  <c r="U90" i="38"/>
  <c r="V90" i="38"/>
  <c r="I90" i="38"/>
  <c r="H90" i="38"/>
  <c r="AI88" i="38"/>
  <c r="AI82" i="38" s="1"/>
  <c r="AB88" i="38"/>
  <c r="Y88" i="38"/>
  <c r="AC88" i="38" s="1"/>
  <c r="W88" i="38"/>
  <c r="V88" i="38"/>
  <c r="J88" i="38"/>
  <c r="I88" i="38"/>
  <c r="H88" i="38"/>
  <c r="BP87" i="38"/>
  <c r="J87" i="38"/>
  <c r="U86" i="38"/>
  <c r="AB86" i="38"/>
  <c r="Y86" i="38"/>
  <c r="AC86" i="38" s="1"/>
  <c r="V86" i="38"/>
  <c r="J86" i="38"/>
  <c r="I86" i="38"/>
  <c r="H86" i="38"/>
  <c r="Y85" i="38"/>
  <c r="Y83" i="38" s="1"/>
  <c r="S85" i="38"/>
  <c r="J85" i="38"/>
  <c r="S84" i="38"/>
  <c r="U84" i="38" s="1"/>
  <c r="J84" i="38"/>
  <c r="AD84" i="38" s="1"/>
  <c r="AF83" i="38"/>
  <c r="W83" i="38"/>
  <c r="V83" i="38"/>
  <c r="T83" i="38"/>
  <c r="I83" i="38"/>
  <c r="I82" i="38" s="1"/>
  <c r="H83" i="38"/>
  <c r="H82" i="38" s="1"/>
  <c r="BX82" i="38"/>
  <c r="BU82" i="38"/>
  <c r="BS82" i="38"/>
  <c r="BP82" i="38"/>
  <c r="BN82" i="38"/>
  <c r="BL82" i="38"/>
  <c r="BK82" i="38"/>
  <c r="BI82" i="38"/>
  <c r="BF82" i="38"/>
  <c r="BD82" i="38"/>
  <c r="AZ82" i="38"/>
  <c r="AM82" i="38"/>
  <c r="AL82" i="38"/>
  <c r="AK82" i="38"/>
  <c r="AJ82" i="38"/>
  <c r="AH82" i="38"/>
  <c r="AG82" i="38"/>
  <c r="AE82" i="38"/>
  <c r="AA82" i="38"/>
  <c r="Z82" i="38"/>
  <c r="X82" i="38"/>
  <c r="R82" i="38"/>
  <c r="Q82" i="38"/>
  <c r="P82" i="38"/>
  <c r="O82" i="38"/>
  <c r="N82" i="38"/>
  <c r="M82" i="38"/>
  <c r="L82" i="38"/>
  <c r="K82" i="38"/>
  <c r="J81" i="38"/>
  <c r="AD81" i="38" s="1"/>
  <c r="S80" i="38"/>
  <c r="U80" i="38" s="1"/>
  <c r="J80" i="38"/>
  <c r="AD80" i="38" s="1"/>
  <c r="S79" i="38"/>
  <c r="U79" i="38" s="1"/>
  <c r="J79" i="38"/>
  <c r="AD79" i="38" s="1"/>
  <c r="J78" i="38"/>
  <c r="AD78" i="38" s="1"/>
  <c r="AI77" i="38"/>
  <c r="Y77" i="38"/>
  <c r="S77" i="38" s="1"/>
  <c r="U77" i="38" s="1"/>
  <c r="H77" i="38"/>
  <c r="J77" i="38" s="1"/>
  <c r="J76" i="38"/>
  <c r="AI75" i="38"/>
  <c r="S75" i="38"/>
  <c r="U75" i="38" s="1"/>
  <c r="BL74" i="38"/>
  <c r="AI74" i="38"/>
  <c r="Y74" i="38"/>
  <c r="H74" i="38"/>
  <c r="Y73" i="38"/>
  <c r="S73" i="38" s="1"/>
  <c r="U73" i="38" s="1"/>
  <c r="J73" i="38"/>
  <c r="Y72" i="38"/>
  <c r="S72" i="38" s="1"/>
  <c r="U72" i="38" s="1"/>
  <c r="J72" i="38"/>
  <c r="AI71" i="38"/>
  <c r="Y71" i="38"/>
  <c r="S71" i="38" s="1"/>
  <c r="U71" i="38" s="1"/>
  <c r="H71" i="38"/>
  <c r="J71" i="38" s="1"/>
  <c r="S70" i="38"/>
  <c r="U70" i="38" s="1"/>
  <c r="J70" i="38"/>
  <c r="AD70" i="38" s="1"/>
  <c r="S69" i="38"/>
  <c r="U69" i="38" s="1"/>
  <c r="J69" i="38"/>
  <c r="AD69" i="38" s="1"/>
  <c r="S68" i="38"/>
  <c r="U68" i="38" s="1"/>
  <c r="J68" i="38"/>
  <c r="AQ67" i="38"/>
  <c r="AG67" i="38"/>
  <c r="AG61" i="38" s="1"/>
  <c r="AF67" i="38"/>
  <c r="AE67" i="38"/>
  <c r="AE61" i="38" s="1"/>
  <c r="W67" i="38"/>
  <c r="T67" i="38" s="1"/>
  <c r="T61" i="38" s="1"/>
  <c r="V67" i="38"/>
  <c r="I67" i="38"/>
  <c r="AQ65" i="38"/>
  <c r="W64" i="38"/>
  <c r="AF63" i="38"/>
  <c r="W63" i="38"/>
  <c r="V63" i="38"/>
  <c r="J63" i="38"/>
  <c r="I63" i="38"/>
  <c r="H63" i="38"/>
  <c r="BY62" i="38"/>
  <c r="BT62" i="38"/>
  <c r="BQ62" i="38"/>
  <c r="BM62" i="38"/>
  <c r="BG62" i="38"/>
  <c r="BE62" i="38"/>
  <c r="BC62" i="38"/>
  <c r="AX62" i="38"/>
  <c r="AU62" i="38"/>
  <c r="AR62" i="38"/>
  <c r="BX61" i="38"/>
  <c r="BU61" i="38"/>
  <c r="BS61" i="38"/>
  <c r="BP61" i="38"/>
  <c r="BN61" i="38"/>
  <c r="BL61" i="38"/>
  <c r="BK61" i="38"/>
  <c r="BI61" i="38"/>
  <c r="BF61" i="38"/>
  <c r="BD61" i="38"/>
  <c r="BB61" i="38"/>
  <c r="AC61" i="38"/>
  <c r="AA61" i="38"/>
  <c r="Z61" i="38"/>
  <c r="X61" i="38"/>
  <c r="Q61" i="38"/>
  <c r="P61" i="38"/>
  <c r="O61" i="38"/>
  <c r="N61" i="38"/>
  <c r="M61" i="38"/>
  <c r="L61" i="38"/>
  <c r="K61" i="38"/>
  <c r="AI59" i="38"/>
  <c r="AC59" i="38"/>
  <c r="AB59" i="38"/>
  <c r="T59" i="38"/>
  <c r="T58" i="38" s="1"/>
  <c r="U58" i="38" s="1"/>
  <c r="AN58" i="38"/>
  <c r="AS58" i="38" s="1"/>
  <c r="AC58" i="38"/>
  <c r="Y58" i="38"/>
  <c r="V58" i="38"/>
  <c r="J58" i="38"/>
  <c r="AI57" i="38"/>
  <c r="AC57" i="38"/>
  <c r="AC56" i="38" s="1"/>
  <c r="S57" i="38"/>
  <c r="S56" i="38" s="1"/>
  <c r="AF56" i="38"/>
  <c r="AB56" i="38"/>
  <c r="W56" i="38"/>
  <c r="V56" i="38"/>
  <c r="I56" i="38"/>
  <c r="H56" i="38"/>
  <c r="Y55" i="38"/>
  <c r="AB55" i="38" s="1"/>
  <c r="AB51" i="38" s="1"/>
  <c r="S55" i="38"/>
  <c r="S51" i="38" s="1"/>
  <c r="J55" i="38"/>
  <c r="H54" i="38"/>
  <c r="J53" i="38"/>
  <c r="H52" i="38"/>
  <c r="AI51" i="38"/>
  <c r="AG51" i="38"/>
  <c r="AG45" i="38" s="1"/>
  <c r="AC51" i="38"/>
  <c r="AC45" i="38" s="1"/>
  <c r="W51" i="38"/>
  <c r="T51" i="38"/>
  <c r="AB50" i="38"/>
  <c r="S50" i="38"/>
  <c r="U50" i="38" s="1"/>
  <c r="J50" i="38"/>
  <c r="AI49" i="38"/>
  <c r="AB49" i="38"/>
  <c r="S49" i="38"/>
  <c r="U49" i="38" s="1"/>
  <c r="AI48" i="38"/>
  <c r="AB48" i="38"/>
  <c r="S48" i="38"/>
  <c r="U48" i="38" s="1"/>
  <c r="Y47" i="38"/>
  <c r="Y46" i="38" s="1"/>
  <c r="J47" i="38"/>
  <c r="T46" i="38"/>
  <c r="T45" i="38" s="1"/>
  <c r="AM45" i="38"/>
  <c r="AM34" i="38" s="1"/>
  <c r="AL45" i="38"/>
  <c r="AL34" i="38" s="1"/>
  <c r="AK45" i="38"/>
  <c r="AK34" i="38" s="1"/>
  <c r="AJ45" i="38"/>
  <c r="AJ34" i="38" s="1"/>
  <c r="AH45" i="38"/>
  <c r="AH34" i="38" s="1"/>
  <c r="AE45" i="38"/>
  <c r="AA45" i="38"/>
  <c r="Z45" i="38"/>
  <c r="V45" i="38"/>
  <c r="I45" i="38"/>
  <c r="AB44" i="38"/>
  <c r="AB42" i="38" s="1"/>
  <c r="AK43" i="38"/>
  <c r="AI43" i="38"/>
  <c r="AI42" i="38" s="1"/>
  <c r="U43" i="38"/>
  <c r="H43" i="38"/>
  <c r="H42" i="38" s="1"/>
  <c r="AF42" i="38"/>
  <c r="AD42" i="38"/>
  <c r="Y42" i="38"/>
  <c r="V42" i="38"/>
  <c r="T42" i="38"/>
  <c r="S42" i="38"/>
  <c r="U42" i="38" s="1"/>
  <c r="J42" i="38"/>
  <c r="I42" i="38"/>
  <c r="AI41" i="38"/>
  <c r="S41" i="38"/>
  <c r="U41" i="38" s="1"/>
  <c r="AI40" i="38"/>
  <c r="S40" i="38"/>
  <c r="AI39" i="38"/>
  <c r="AI36" i="38" s="1"/>
  <c r="AB39" i="38"/>
  <c r="S39" i="38"/>
  <c r="S36" i="38" s="1"/>
  <c r="AB38" i="38"/>
  <c r="Y37" i="38"/>
  <c r="AB37" i="38" s="1"/>
  <c r="Y36" i="38"/>
  <c r="V36" i="38"/>
  <c r="V35" i="38" s="1"/>
  <c r="AF35" i="38"/>
  <c r="AE35" i="38"/>
  <c r="AD35" i="38"/>
  <c r="AC35" i="38"/>
  <c r="AA35" i="38"/>
  <c r="Z35" i="38"/>
  <c r="Z34" i="38" s="1"/>
  <c r="X35" i="38"/>
  <c r="X34" i="38" s="1"/>
  <c r="W35" i="38"/>
  <c r="T35" i="38"/>
  <c r="R35" i="38"/>
  <c r="R34" i="38" s="1"/>
  <c r="Q35" i="38"/>
  <c r="Q34" i="38" s="1"/>
  <c r="P35" i="38"/>
  <c r="P34" i="38" s="1"/>
  <c r="O35" i="38"/>
  <c r="O34" i="38" s="1"/>
  <c r="N35" i="38"/>
  <c r="N34" i="38" s="1"/>
  <c r="M35" i="38"/>
  <c r="M34" i="38" s="1"/>
  <c r="L35" i="38"/>
  <c r="L34" i="38" s="1"/>
  <c r="K35" i="38"/>
  <c r="K34" i="38" s="1"/>
  <c r="I35" i="38"/>
  <c r="BX34" i="38"/>
  <c r="BP34" i="38"/>
  <c r="BN34" i="38"/>
  <c r="BL34" i="38"/>
  <c r="Y31" i="38"/>
  <c r="AC30" i="38"/>
  <c r="J30" i="38"/>
  <c r="J29" i="38" s="1"/>
  <c r="AI29" i="38"/>
  <c r="AC29" i="38"/>
  <c r="I29" i="38"/>
  <c r="Y28" i="38"/>
  <c r="AB28" i="38" s="1"/>
  <c r="J28" i="38"/>
  <c r="Y27" i="38"/>
  <c r="AB27" i="38" s="1"/>
  <c r="J27" i="38"/>
  <c r="AI26" i="38"/>
  <c r="AF26" i="38"/>
  <c r="AC26" i="38"/>
  <c r="W26" i="38"/>
  <c r="V26" i="38"/>
  <c r="T26" i="38"/>
  <c r="S26" i="38"/>
  <c r="U26" i="38" s="1"/>
  <c r="I26" i="38"/>
  <c r="H26" i="38"/>
  <c r="BW25" i="38"/>
  <c r="S25" i="38"/>
  <c r="U25" i="38" s="1"/>
  <c r="J25" i="38"/>
  <c r="U24" i="38"/>
  <c r="J24" i="38"/>
  <c r="AG24" i="38" s="1"/>
  <c r="AP23" i="38"/>
  <c r="AB23" i="38"/>
  <c r="U23" i="38"/>
  <c r="J23" i="38"/>
  <c r="Y22" i="38"/>
  <c r="Y21" i="38" s="1"/>
  <c r="J22" i="38"/>
  <c r="AI21" i="38"/>
  <c r="AF21" i="38"/>
  <c r="AC21" i="38"/>
  <c r="W21" i="38"/>
  <c r="V21" i="38"/>
  <c r="I21" i="38"/>
  <c r="H21" i="38"/>
  <c r="Y20" i="38"/>
  <c r="AB20" i="38" s="1"/>
  <c r="J20" i="38"/>
  <c r="AB19" i="38"/>
  <c r="J19" i="38"/>
  <c r="AD19" i="38" s="1"/>
  <c r="AB18" i="38"/>
  <c r="J18" i="38"/>
  <c r="AD18" i="38" s="1"/>
  <c r="Y17" i="38"/>
  <c r="AB17" i="38" s="1"/>
  <c r="J17" i="38"/>
  <c r="J16" i="38" s="1"/>
  <c r="AI16" i="38"/>
  <c r="AG16" i="38"/>
  <c r="AF16" i="38"/>
  <c r="AC16" i="38"/>
  <c r="W16" i="38"/>
  <c r="V16" i="38"/>
  <c r="U16" i="38"/>
  <c r="T16" i="38"/>
  <c r="S16" i="38"/>
  <c r="I16" i="38"/>
  <c r="H16" i="38"/>
  <c r="J15" i="38"/>
  <c r="Y14" i="38"/>
  <c r="Y13" i="38" s="1"/>
  <c r="J14" i="38"/>
  <c r="AI13" i="38"/>
  <c r="AG13" i="38"/>
  <c r="AF13" i="38"/>
  <c r="AC13" i="38"/>
  <c r="AB13" i="38"/>
  <c r="W13" i="38"/>
  <c r="V13" i="38"/>
  <c r="U13" i="38"/>
  <c r="T13" i="38"/>
  <c r="S13" i="38"/>
  <c r="I13" i="38"/>
  <c r="H13" i="38"/>
  <c r="J12" i="38"/>
  <c r="AK11" i="38"/>
  <c r="AK10" i="38"/>
  <c r="AK7" i="38" s="1"/>
  <c r="AI10" i="38"/>
  <c r="AG10" i="38"/>
  <c r="AF10" i="38"/>
  <c r="AD10" i="38"/>
  <c r="AC10" i="38"/>
  <c r="AB10" i="38"/>
  <c r="W10" i="38"/>
  <c r="V10" i="38"/>
  <c r="U10" i="38"/>
  <c r="I10" i="38"/>
  <c r="AV9" i="38"/>
  <c r="Y9" i="38"/>
  <c r="Y8" i="38" s="1"/>
  <c r="J9" i="38"/>
  <c r="U9" i="38" s="1"/>
  <c r="BS8" i="38"/>
  <c r="BQ8" i="38"/>
  <c r="AU8" i="38"/>
  <c r="AI8" i="38"/>
  <c r="AF8" i="38"/>
  <c r="AC8" i="38"/>
  <c r="AB8" i="38"/>
  <c r="W8" i="38"/>
  <c r="V8" i="38"/>
  <c r="I8" i="38"/>
  <c r="H8" i="38"/>
  <c r="BX7" i="38"/>
  <c r="BP7" i="38"/>
  <c r="BN7" i="38"/>
  <c r="BL7" i="38"/>
  <c r="BK7" i="38"/>
  <c r="BI7" i="38"/>
  <c r="BF7" i="38"/>
  <c r="BD7" i="38"/>
  <c r="BB7" i="38"/>
  <c r="AX7" i="38"/>
  <c r="AV7" i="38"/>
  <c r="AL7" i="38"/>
  <c r="AJ7" i="38"/>
  <c r="BJ6" i="38"/>
  <c r="BB6" i="38"/>
  <c r="AX6" i="38"/>
  <c r="AV6" i="38"/>
  <c r="BR4" i="38"/>
  <c r="BK4" i="38"/>
  <c r="H10" i="37"/>
  <c r="I2" i="37"/>
  <c r="I3" i="37"/>
  <c r="I4" i="37"/>
  <c r="I5" i="37"/>
  <c r="I6" i="37"/>
  <c r="I7" i="37"/>
  <c r="I8" i="37"/>
  <c r="I9" i="37"/>
  <c r="H2" i="37"/>
  <c r="H3" i="37"/>
  <c r="H4" i="37"/>
  <c r="H5" i="37"/>
  <c r="H6" i="37"/>
  <c r="H7" i="37"/>
  <c r="H8" i="37"/>
  <c r="H9" i="37"/>
  <c r="H1" i="37"/>
  <c r="I1" i="37" s="1"/>
  <c r="G10" i="37"/>
  <c r="F2" i="37"/>
  <c r="F3" i="37"/>
  <c r="F4" i="37"/>
  <c r="F5" i="37"/>
  <c r="F6" i="37"/>
  <c r="F7" i="37"/>
  <c r="F8" i="37"/>
  <c r="F9" i="37"/>
  <c r="F1" i="37"/>
  <c r="E10" i="37"/>
  <c r="C9" i="37"/>
  <c r="C1048576" i="37"/>
  <c r="D9" i="35"/>
  <c r="E9" i="35"/>
  <c r="E8" i="35" s="1"/>
  <c r="F8" i="35"/>
  <c r="D31" i="35"/>
  <c r="E31" i="35"/>
  <c r="H31" i="35"/>
  <c r="K23" i="35"/>
  <c r="D20" i="35"/>
  <c r="D8" i="35" s="1"/>
  <c r="E20" i="35"/>
  <c r="G20" i="35"/>
  <c r="M20" i="35"/>
  <c r="C9" i="35"/>
  <c r="Q13" i="35"/>
  <c r="R12" i="36"/>
  <c r="R3" i="36"/>
  <c r="U57" i="38" l="1"/>
  <c r="T56" i="38"/>
  <c r="G13" i="38"/>
  <c r="G7" i="38" s="1"/>
  <c r="G35" i="38"/>
  <c r="U36" i="38"/>
  <c r="E7" i="38"/>
  <c r="I7" i="38"/>
  <c r="AQ26" i="38"/>
  <c r="S35" i="38"/>
  <c r="AD28" i="38"/>
  <c r="E82" i="38"/>
  <c r="J39" i="38"/>
  <c r="F61" i="38"/>
  <c r="F58" i="38" s="1"/>
  <c r="F34" i="38" s="1"/>
  <c r="F6" i="38" s="1"/>
  <c r="U40" i="38"/>
  <c r="U35" i="38" s="1"/>
  <c r="Z6" i="38"/>
  <c r="S83" i="38"/>
  <c r="H7" i="38"/>
  <c r="E61" i="38"/>
  <c r="X8" i="26"/>
  <c r="V8" i="26"/>
  <c r="X6" i="38"/>
  <c r="AD47" i="38"/>
  <c r="AD46" i="38" s="1"/>
  <c r="AF34" i="38"/>
  <c r="S47" i="38"/>
  <c r="U47" i="38" s="1"/>
  <c r="U46" i="38" s="1"/>
  <c r="S11" i="26"/>
  <c r="X32" i="26"/>
  <c r="V32" i="26"/>
  <c r="AA34" i="38"/>
  <c r="Y79" i="26"/>
  <c r="AC79" i="26" s="1"/>
  <c r="V79" i="26"/>
  <c r="X79" i="26"/>
  <c r="U55" i="38"/>
  <c r="Y26" i="38"/>
  <c r="W86" i="38"/>
  <c r="U51" i="38"/>
  <c r="U85" i="38"/>
  <c r="S9" i="26"/>
  <c r="V61" i="38"/>
  <c r="BO61" i="38" s="1"/>
  <c r="H67" i="38"/>
  <c r="H61" i="38" s="1"/>
  <c r="W7" i="38"/>
  <c r="J56" i="38"/>
  <c r="W61" i="38"/>
  <c r="W58" i="38" s="1"/>
  <c r="W34" i="38" s="1"/>
  <c r="G51" i="38"/>
  <c r="I61" i="38"/>
  <c r="I58" i="38" s="1"/>
  <c r="I34" i="38" s="1"/>
  <c r="I6" i="38" s="1"/>
  <c r="W93" i="38"/>
  <c r="W92" i="38" s="1"/>
  <c r="T93" i="38"/>
  <c r="U59" i="38"/>
  <c r="AB79" i="26"/>
  <c r="AG23" i="38"/>
  <c r="AD27" i="38"/>
  <c r="AD26" i="38" s="1"/>
  <c r="Y8" i="26"/>
  <c r="AC8" i="26" s="1"/>
  <c r="T34" i="38"/>
  <c r="AB26" i="38"/>
  <c r="Y32" i="26"/>
  <c r="AC32" i="26" s="1"/>
  <c r="U56" i="38"/>
  <c r="U63" i="38"/>
  <c r="S64" i="26"/>
  <c r="S17" i="26"/>
  <c r="R58" i="26"/>
  <c r="S27" i="26"/>
  <c r="R91" i="26"/>
  <c r="Q91" i="26"/>
  <c r="G82" i="38"/>
  <c r="G46" i="38"/>
  <c r="E45" i="38"/>
  <c r="E34" i="38" s="1"/>
  <c r="AI35" i="38"/>
  <c r="AC7" i="38"/>
  <c r="J92" i="38"/>
  <c r="J26" i="38"/>
  <c r="BF6" i="38"/>
  <c r="BG6" i="38" s="1"/>
  <c r="BI6" i="38"/>
  <c r="G71" i="38"/>
  <c r="G67" i="38" s="1"/>
  <c r="G61" i="38" s="1"/>
  <c r="BN6" i="38"/>
  <c r="AI7" i="38"/>
  <c r="V7" i="38"/>
  <c r="BO7" i="38" s="1"/>
  <c r="AI67" i="38"/>
  <c r="AI61" i="38" s="1"/>
  <c r="BR8" i="38"/>
  <c r="AI65" i="38"/>
  <c r="AD72" i="38"/>
  <c r="W82" i="38"/>
  <c r="AE34" i="38"/>
  <c r="AE6" i="38" s="1"/>
  <c r="V82" i="38"/>
  <c r="BO82" i="38" s="1"/>
  <c r="AF82" i="38"/>
  <c r="J83" i="38"/>
  <c r="AC34" i="38"/>
  <c r="AK6" i="38"/>
  <c r="V34" i="38"/>
  <c r="BZ35" i="38" s="1"/>
  <c r="AD37" i="38"/>
  <c r="AF61" i="38"/>
  <c r="H46" i="38"/>
  <c r="AG9" i="38"/>
  <c r="AG8" i="38" s="1"/>
  <c r="K6" i="38"/>
  <c r="S46" i="38"/>
  <c r="S45" i="38" s="1"/>
  <c r="S34" i="38" s="1"/>
  <c r="AD9" i="38"/>
  <c r="AD8" i="38" s="1"/>
  <c r="J8" i="38"/>
  <c r="AM6" i="38"/>
  <c r="S63" i="38"/>
  <c r="AD65" i="38"/>
  <c r="AD63" i="38" s="1"/>
  <c r="J13" i="38"/>
  <c r="N6" i="38"/>
  <c r="O6" i="38"/>
  <c r="P6" i="38"/>
  <c r="Q6" i="38"/>
  <c r="L6" i="38"/>
  <c r="M6" i="38"/>
  <c r="Y82" i="38"/>
  <c r="AB83" i="38"/>
  <c r="AB82" i="38" s="1"/>
  <c r="AB16" i="38"/>
  <c r="AC82" i="38"/>
  <c r="BL6" i="38"/>
  <c r="AD22" i="38"/>
  <c r="BD6" i="38"/>
  <c r="AD20" i="38"/>
  <c r="AD16" i="38" s="1"/>
  <c r="Y16" i="38"/>
  <c r="Y7" i="38" s="1"/>
  <c r="AB22" i="38"/>
  <c r="AD73" i="38"/>
  <c r="J74" i="38"/>
  <c r="J67" i="38" s="1"/>
  <c r="J61" i="38" s="1"/>
  <c r="AD68" i="38"/>
  <c r="AG30" i="38"/>
  <c r="AG29" i="38" s="1"/>
  <c r="J21" i="38"/>
  <c r="AB47" i="38"/>
  <c r="AB46" i="38" s="1"/>
  <c r="AB45" i="38" s="1"/>
  <c r="W91" i="38"/>
  <c r="AD85" i="38"/>
  <c r="AD23" i="38"/>
  <c r="AD24" i="38"/>
  <c r="Y35" i="38"/>
  <c r="AB36" i="38"/>
  <c r="AB35" i="38" s="1"/>
  <c r="Y67" i="38"/>
  <c r="H51" i="38"/>
  <c r="AD14" i="38"/>
  <c r="AD13" i="38" s="1"/>
  <c r="J52" i="38"/>
  <c r="J11" i="38"/>
  <c r="J10" i="38" s="1"/>
  <c r="AI46" i="38"/>
  <c r="AI45" i="38" s="1"/>
  <c r="O3" i="30"/>
  <c r="O2" i="30"/>
  <c r="N5" i="30"/>
  <c r="N23" i="35"/>
  <c r="K38" i="35"/>
  <c r="L38" i="35" s="1"/>
  <c r="O38" i="35" s="1"/>
  <c r="N36" i="35"/>
  <c r="J36" i="35"/>
  <c r="N35" i="35"/>
  <c r="I35" i="35"/>
  <c r="I31" i="35" s="1"/>
  <c r="K34" i="35"/>
  <c r="M34" i="35"/>
  <c r="M31" i="35" s="1"/>
  <c r="N33" i="35"/>
  <c r="K33" i="35"/>
  <c r="J33" i="35"/>
  <c r="G33" i="35"/>
  <c r="Q31" i="35"/>
  <c r="L30" i="35"/>
  <c r="J30" i="35"/>
  <c r="H30" i="35"/>
  <c r="H27" i="35" s="1"/>
  <c r="L29" i="35"/>
  <c r="N28" i="35"/>
  <c r="K28" i="35"/>
  <c r="L28" i="35" s="1"/>
  <c r="J28" i="35"/>
  <c r="M27" i="35"/>
  <c r="G27" i="35"/>
  <c r="C27" i="35"/>
  <c r="K26" i="35"/>
  <c r="N25" i="35"/>
  <c r="I25" i="35"/>
  <c r="J25" i="35" s="1"/>
  <c r="N24" i="35"/>
  <c r="K24" i="35"/>
  <c r="L24" i="35" s="1"/>
  <c r="J23" i="35"/>
  <c r="H23" i="35"/>
  <c r="N22" i="35"/>
  <c r="L22" i="35"/>
  <c r="N21" i="35"/>
  <c r="H21" i="35"/>
  <c r="C20" i="35"/>
  <c r="I17" i="35"/>
  <c r="N16" i="35"/>
  <c r="J16" i="35"/>
  <c r="I15" i="35"/>
  <c r="K15" i="35" s="1"/>
  <c r="M14" i="35"/>
  <c r="L14" i="35"/>
  <c r="H14" i="35"/>
  <c r="N13" i="35"/>
  <c r="L13" i="35"/>
  <c r="J13" i="35"/>
  <c r="N12" i="35"/>
  <c r="I12" i="35"/>
  <c r="K12" i="35" s="1"/>
  <c r="L12" i="35" s="1"/>
  <c r="H12" i="35"/>
  <c r="L11" i="35"/>
  <c r="N10" i="35"/>
  <c r="I10" i="35"/>
  <c r="G10" i="35" s="1"/>
  <c r="G9" i="35" s="1"/>
  <c r="K7" i="35"/>
  <c r="W6" i="38" l="1"/>
  <c r="U45" i="38"/>
  <c r="U34" i="38" s="1"/>
  <c r="J7" i="38"/>
  <c r="S82" i="38"/>
  <c r="U83" i="38"/>
  <c r="AG39" i="38"/>
  <c r="AG36" i="38" s="1"/>
  <c r="AG35" i="38" s="1"/>
  <c r="AG34" i="38" s="1"/>
  <c r="J36" i="38"/>
  <c r="J35" i="38" s="1"/>
  <c r="E6" i="38"/>
  <c r="G45" i="38"/>
  <c r="G34" i="38" s="1"/>
  <c r="BJ82" i="38"/>
  <c r="AN82" i="38"/>
  <c r="AD83" i="38"/>
  <c r="AD82" i="38" s="1"/>
  <c r="J82" i="38"/>
  <c r="T92" i="38"/>
  <c r="U93" i="38"/>
  <c r="R56" i="26"/>
  <c r="R7" i="26"/>
  <c r="S58" i="26"/>
  <c r="J10" i="35"/>
  <c r="I9" i="35"/>
  <c r="H9" i="35"/>
  <c r="J31" i="35"/>
  <c r="H20" i="35"/>
  <c r="J21" i="35"/>
  <c r="J20" i="35" s="1"/>
  <c r="I20" i="35"/>
  <c r="BG82" i="38"/>
  <c r="BY82" i="38"/>
  <c r="BV82" i="38"/>
  <c r="G6" i="38"/>
  <c r="AI34" i="38"/>
  <c r="AI6" i="38" s="1"/>
  <c r="H45" i="38"/>
  <c r="H34" i="38" s="1"/>
  <c r="H6" i="38" s="1"/>
  <c r="AF7" i="38"/>
  <c r="AF6" i="38" s="1"/>
  <c r="AJ61" i="38"/>
  <c r="AJ6" i="38" s="1"/>
  <c r="J51" i="38"/>
  <c r="V6" i="38"/>
  <c r="J46" i="38"/>
  <c r="J45" i="38" s="1"/>
  <c r="J34" i="38" s="1"/>
  <c r="AC6" i="38"/>
  <c r="BO34" i="38"/>
  <c r="BQ82" i="38"/>
  <c r="AD67" i="38"/>
  <c r="AD61" i="38" s="1"/>
  <c r="AW9" i="38"/>
  <c r="AR7" i="38"/>
  <c r="AQ7" i="38"/>
  <c r="BV8" i="38"/>
  <c r="BT7" i="38"/>
  <c r="BG7" i="38"/>
  <c r="BP6" i="38"/>
  <c r="BY7" i="38"/>
  <c r="BE7" i="38"/>
  <c r="BJ7" i="38"/>
  <c r="BJ4" i="38" s="1"/>
  <c r="BM7" i="38"/>
  <c r="BQ7" i="38"/>
  <c r="AY7" i="38"/>
  <c r="AL61" i="38"/>
  <c r="S67" i="38"/>
  <c r="AB67" i="38"/>
  <c r="AB61" i="38" s="1"/>
  <c r="Y61" i="38"/>
  <c r="BT82" i="38"/>
  <c r="BM82" i="38"/>
  <c r="BE82" i="38"/>
  <c r="AB34" i="38"/>
  <c r="AD21" i="38"/>
  <c r="AD7" i="38" s="1"/>
  <c r="BU35" i="38"/>
  <c r="AB21" i="38"/>
  <c r="AB7" i="38" s="1"/>
  <c r="AG22" i="38"/>
  <c r="L33" i="35"/>
  <c r="O24" i="35"/>
  <c r="O22" i="35"/>
  <c r="O28" i="35"/>
  <c r="N14" i="35"/>
  <c r="Q14" i="35"/>
  <c r="J11" i="35"/>
  <c r="N11" i="35"/>
  <c r="O13" i="35"/>
  <c r="L23" i="35"/>
  <c r="L34" i="35"/>
  <c r="K25" i="35"/>
  <c r="L25" i="35" s="1"/>
  <c r="O25" i="35" s="1"/>
  <c r="O16" i="35"/>
  <c r="O30" i="35"/>
  <c r="O33" i="35"/>
  <c r="N34" i="35"/>
  <c r="N31" i="35" s="1"/>
  <c r="K36" i="35"/>
  <c r="K10" i="35"/>
  <c r="K9" i="35" s="1"/>
  <c r="J12" i="35"/>
  <c r="O12" i="35" s="1"/>
  <c r="J14" i="35"/>
  <c r="N20" i="35"/>
  <c r="C31" i="35"/>
  <c r="C8" i="35" s="1"/>
  <c r="I27" i="35"/>
  <c r="J29" i="35"/>
  <c r="O29" i="35" s="1"/>
  <c r="J15" i="35"/>
  <c r="O15" i="35" s="1"/>
  <c r="K27" i="35"/>
  <c r="L27" i="35" s="1"/>
  <c r="K35" i="35"/>
  <c r="U92" i="38" l="1"/>
  <c r="T82" i="38"/>
  <c r="AG21" i="38"/>
  <c r="AG7" i="38" s="1"/>
  <c r="AG6" i="38" s="1"/>
  <c r="S22" i="38"/>
  <c r="S21" i="38" s="1"/>
  <c r="S7" i="38" s="1"/>
  <c r="Y58" i="26"/>
  <c r="AC58" i="26" s="1"/>
  <c r="X58" i="26"/>
  <c r="V58" i="26"/>
  <c r="AB58" i="26"/>
  <c r="U82" i="38"/>
  <c r="O14" i="35"/>
  <c r="AN7" i="38"/>
  <c r="O11" i="35"/>
  <c r="U67" i="38"/>
  <c r="U61" i="38" s="1"/>
  <c r="S61" i="38"/>
  <c r="S6" i="38" s="1"/>
  <c r="K31" i="35"/>
  <c r="P31" i="35" s="1"/>
  <c r="Q30" i="35" s="1"/>
  <c r="S7" i="26"/>
  <c r="S91" i="26"/>
  <c r="J9" i="35"/>
  <c r="M9" i="35"/>
  <c r="M8" i="35" s="1"/>
  <c r="M4" i="35" s="1"/>
  <c r="I8" i="35"/>
  <c r="H8" i="35"/>
  <c r="K20" i="35"/>
  <c r="O34" i="35"/>
  <c r="O23" i="35"/>
  <c r="J6" i="38"/>
  <c r="AF2" i="38" s="1"/>
  <c r="U64" i="38"/>
  <c r="AB6" i="38"/>
  <c r="BY61" i="38"/>
  <c r="BY59" i="38" s="1"/>
  <c r="BL63" i="38"/>
  <c r="BZ63" i="38"/>
  <c r="BE61" i="38"/>
  <c r="BM61" i="38"/>
  <c r="BV61" i="38"/>
  <c r="BG61" i="38"/>
  <c r="BH61" i="38" s="1"/>
  <c r="BT61" i="38"/>
  <c r="BQ61" i="38"/>
  <c r="BR61" i="38" s="1"/>
  <c r="BC61" i="38"/>
  <c r="BJ61" i="38"/>
  <c r="BJ63" i="38" s="1"/>
  <c r="L21" i="35"/>
  <c r="O21" i="35" s="1"/>
  <c r="L35" i="35"/>
  <c r="L10" i="35"/>
  <c r="L9" i="35" s="1"/>
  <c r="G36" i="35"/>
  <c r="L36" i="35"/>
  <c r="O36" i="35" s="1"/>
  <c r="G35" i="35"/>
  <c r="G31" i="35" s="1"/>
  <c r="G8" i="35" s="1"/>
  <c r="J27" i="35"/>
  <c r="P27" i="35"/>
  <c r="AG2" i="38" l="1"/>
  <c r="AH7" i="38"/>
  <c r="AH6" i="38" s="1"/>
  <c r="K8" i="35"/>
  <c r="K4" i="35" s="1"/>
  <c r="L20" i="35"/>
  <c r="P20" i="35"/>
  <c r="Q20" i="35" s="1"/>
  <c r="P8" i="35"/>
  <c r="Q8" i="35" s="1"/>
  <c r="J8" i="35"/>
  <c r="L31" i="35"/>
  <c r="L8" i="35" s="1"/>
  <c r="N9" i="35"/>
  <c r="BZ7" i="38"/>
  <c r="BP9" i="38"/>
  <c r="O10" i="35"/>
  <c r="O35" i="35"/>
  <c r="O31" i="35" s="1"/>
  <c r="I4" i="35"/>
  <c r="N8" i="35"/>
  <c r="M7" i="35"/>
  <c r="Q9" i="35"/>
  <c r="P7" i="35" l="1"/>
  <c r="I7" i="35"/>
  <c r="E7" i="35" s="1"/>
  <c r="D7" i="35" s="1"/>
  <c r="C7" i="35" s="1"/>
  <c r="O8" i="35"/>
  <c r="O9" i="35"/>
  <c r="K11" i="25" l="1"/>
  <c r="N9" i="25"/>
  <c r="N12" i="25" s="1"/>
  <c r="I9" i="25"/>
  <c r="K9" i="25" s="1"/>
  <c r="C9" i="25"/>
  <c r="C12" i="25" s="1"/>
  <c r="D12" i="25"/>
  <c r="E12" i="25"/>
  <c r="G12" i="25"/>
  <c r="D20" i="25"/>
  <c r="E20" i="25"/>
  <c r="G20" i="25"/>
  <c r="H20" i="25"/>
  <c r="I20" i="25"/>
  <c r="J20" i="25"/>
  <c r="L20" i="25"/>
  <c r="M20" i="25"/>
  <c r="N20" i="25"/>
  <c r="O20" i="25"/>
  <c r="P20" i="25"/>
  <c r="Q20" i="25"/>
  <c r="C20" i="25"/>
  <c r="I10" i="25"/>
  <c r="K10" i="25" s="1"/>
  <c r="C10" i="25"/>
  <c r="I12" i="25" l="1"/>
  <c r="K12" i="25" s="1"/>
  <c r="Q9" i="25"/>
  <c r="C8" i="25"/>
  <c r="Q12" i="25" l="1"/>
  <c r="Q8" i="25"/>
  <c r="AA9" i="26" l="1"/>
  <c r="AA10" i="26"/>
  <c r="AA11" i="26"/>
  <c r="AA12" i="26"/>
  <c r="AA13" i="26"/>
  <c r="AA14" i="26"/>
  <c r="AA15" i="26"/>
  <c r="AA16" i="26"/>
  <c r="AA17" i="26"/>
  <c r="AA18" i="26"/>
  <c r="AA19" i="26"/>
  <c r="AA20" i="26"/>
  <c r="AA21" i="26"/>
  <c r="AA22" i="26"/>
  <c r="AA23" i="26"/>
  <c r="AA24" i="26"/>
  <c r="AA25" i="26"/>
  <c r="AA26" i="26"/>
  <c r="AA27" i="26"/>
  <c r="AA28" i="26"/>
  <c r="AA29" i="26"/>
  <c r="AA30" i="26"/>
  <c r="AA31" i="26"/>
  <c r="AA33" i="26"/>
  <c r="AA34" i="26"/>
  <c r="AA35" i="26"/>
  <c r="AA36" i="26"/>
  <c r="AA37" i="26"/>
  <c r="AA38" i="26"/>
  <c r="AA39" i="26"/>
  <c r="AA40" i="26"/>
  <c r="AA41" i="26"/>
  <c r="AA42" i="26"/>
  <c r="AA43" i="26"/>
  <c r="AA44" i="26"/>
  <c r="AA45" i="26"/>
  <c r="AA46" i="26"/>
  <c r="AA47" i="26"/>
  <c r="AA48" i="26"/>
  <c r="AA49" i="26"/>
  <c r="AA50" i="26"/>
  <c r="AA51" i="26"/>
  <c r="AA52" i="26"/>
  <c r="AA53" i="26"/>
  <c r="AA54" i="26"/>
  <c r="AA55" i="26"/>
  <c r="AA56" i="26"/>
  <c r="AA57" i="26"/>
  <c r="AA59" i="26"/>
  <c r="AA60" i="26"/>
  <c r="AA61" i="26"/>
  <c r="AA62" i="26"/>
  <c r="AA63" i="26"/>
  <c r="AA64" i="26"/>
  <c r="AA65" i="26"/>
  <c r="AA66" i="26"/>
  <c r="AA67" i="26"/>
  <c r="AA68" i="26"/>
  <c r="AA69" i="26"/>
  <c r="AA70" i="26"/>
  <c r="AA71" i="26"/>
  <c r="AA72" i="26"/>
  <c r="AA73" i="26"/>
  <c r="AA74" i="26"/>
  <c r="AA75" i="26"/>
  <c r="AA76" i="26"/>
  <c r="AA77" i="26"/>
  <c r="AA78" i="26"/>
  <c r="D8" i="25"/>
  <c r="E8" i="25"/>
  <c r="AA7" i="26" l="1"/>
  <c r="AB7" i="26" s="1"/>
  <c r="I8" i="25"/>
  <c r="AN32" i="26" l="1"/>
  <c r="AL32" i="26"/>
  <c r="AN58" i="26" s="1"/>
  <c r="H6" i="30"/>
  <c r="J6" i="30"/>
  <c r="B5" i="30"/>
  <c r="B4" i="30"/>
  <c r="P79" i="26"/>
  <c r="T58" i="26"/>
  <c r="T32" i="26"/>
  <c r="T7" i="26" s="1"/>
  <c r="P32" i="26"/>
  <c r="P8" i="26"/>
  <c r="H9" i="25"/>
  <c r="H12" i="25" s="1"/>
  <c r="G8" i="25"/>
  <c r="K6" i="30" l="1"/>
  <c r="K7" i="30" s="1"/>
  <c r="I6" i="30"/>
  <c r="I7" i="30" s="1"/>
  <c r="P7" i="26"/>
  <c r="R9" i="25"/>
  <c r="N8" i="25"/>
  <c r="H8" i="25"/>
  <c r="R8" i="25" l="1"/>
  <c r="R12" i="25"/>
  <c r="E6" i="33" l="1"/>
  <c r="F6" i="33"/>
  <c r="G6" i="33" s="1"/>
  <c r="E7" i="33"/>
  <c r="G7" i="33"/>
  <c r="E8" i="33"/>
  <c r="G8" i="33"/>
  <c r="E9" i="33"/>
  <c r="G9" i="33"/>
  <c r="F10" i="33"/>
  <c r="K24" i="33"/>
  <c r="L11" i="25"/>
  <c r="L12" i="25" s="1"/>
  <c r="U7" i="26" l="1"/>
  <c r="V7" i="26" s="1"/>
  <c r="W7" i="26" l="1"/>
  <c r="Y35" i="26"/>
  <c r="Y36" i="26"/>
  <c r="Y37" i="26"/>
  <c r="Y59" i="26"/>
  <c r="Y63" i="26"/>
  <c r="X7" i="26" l="1"/>
  <c r="Y7" i="26"/>
  <c r="D1" i="32"/>
  <c r="AC7" i="26" l="1"/>
  <c r="Z7" i="26"/>
  <c r="W118" i="26"/>
  <c r="U118" i="26"/>
  <c r="G9" i="31" l="1"/>
  <c r="G12" i="31" s="1"/>
  <c r="AI117" i="26" l="1"/>
  <c r="AI79" i="26"/>
  <c r="AI32" i="26"/>
  <c r="AI8" i="26"/>
  <c r="AI58" i="26"/>
  <c r="AH7" i="26"/>
  <c r="R114" i="26" s="1"/>
  <c r="AI2" i="26"/>
  <c r="AI7" i="26" l="1"/>
  <c r="V118" i="26" l="1"/>
  <c r="U119" i="26"/>
  <c r="U117" i="26" l="1"/>
  <c r="V117" i="26" s="1"/>
  <c r="O9" i="25"/>
  <c r="L8" i="25"/>
  <c r="T9" i="25" l="1"/>
  <c r="O10" i="25" l="1"/>
  <c r="M10" i="25"/>
  <c r="M9" i="25"/>
  <c r="M12" i="25" s="1"/>
  <c r="J9" i="25"/>
  <c r="O8" i="25" l="1"/>
  <c r="O12" i="25"/>
  <c r="J8" i="25"/>
  <c r="J12" i="25"/>
  <c r="M8" i="25"/>
  <c r="P10" i="25"/>
  <c r="P9" i="25"/>
  <c r="P8" i="25" l="1"/>
  <c r="P12" i="25"/>
  <c r="X118" i="26" l="1"/>
  <c r="X35" i="26"/>
  <c r="AG35" i="26" s="1"/>
  <c r="X36" i="26"/>
  <c r="AG36" i="26" s="1"/>
  <c r="X37" i="26"/>
  <c r="AG37" i="26" s="1"/>
  <c r="X59" i="26"/>
  <c r="AG59" i="26" s="1"/>
  <c r="X63" i="26"/>
  <c r="AG63" i="26" s="1"/>
  <c r="K2" i="29" l="1"/>
  <c r="I3" i="29"/>
  <c r="A23" i="28"/>
  <c r="C9" i="28"/>
  <c r="H9" i="28"/>
  <c r="B15" i="28"/>
  <c r="B17" i="28" s="1"/>
  <c r="B11" i="28"/>
  <c r="B13" i="28" s="1"/>
  <c r="H20" i="28"/>
  <c r="H15" i="28"/>
  <c r="H17" i="28" s="1"/>
  <c r="H23" i="28" s="1"/>
  <c r="H11" i="28"/>
  <c r="A13" i="28"/>
  <c r="A15" i="28" s="1"/>
  <c r="A17" i="28" s="1"/>
  <c r="E26" i="28"/>
  <c r="E25" i="28"/>
  <c r="D22" i="28"/>
  <c r="D20" i="28"/>
  <c r="C21" i="28"/>
  <c r="D11" i="28"/>
  <c r="F17" i="28"/>
  <c r="F19" i="28" s="1"/>
  <c r="F25" i="28"/>
  <c r="F22" i="28"/>
  <c r="D9" i="28"/>
  <c r="C11" i="28"/>
  <c r="C6" i="28"/>
  <c r="C3" i="28"/>
  <c r="C1" i="28"/>
  <c r="D17" i="28" l="1"/>
  <c r="E28" i="28"/>
  <c r="C17" i="28"/>
  <c r="B20" i="28"/>
  <c r="F28" i="28"/>
  <c r="Y118" i="26" l="1"/>
  <c r="Z118" i="26" l="1"/>
  <c r="AC118" i="26" s="1"/>
  <c r="E119" i="26" l="1"/>
  <c r="V119" i="26" s="1"/>
  <c r="AC113" i="26"/>
  <c r="E113" i="26"/>
  <c r="F118" i="26" l="1"/>
  <c r="F117" i="26"/>
  <c r="F119" i="26" s="1"/>
  <c r="W119" i="26" l="1"/>
  <c r="X119" i="26" s="1"/>
  <c r="E114" i="26"/>
  <c r="AC112" i="26"/>
  <c r="AC114" i="26" s="1"/>
  <c r="W117" i="26" l="1"/>
  <c r="X117" i="26" s="1"/>
  <c r="W112" i="26"/>
  <c r="W113" i="26" s="1"/>
  <c r="E107" i="26"/>
  <c r="Y117" i="26" l="1"/>
  <c r="Y119" i="26" s="1"/>
  <c r="Z117" i="26" l="1"/>
  <c r="W122" i="26"/>
  <c r="Z119" i="26"/>
  <c r="AC119" i="26" s="1"/>
  <c r="W108" i="26" l="1"/>
  <c r="W107" i="26"/>
  <c r="F108" i="26"/>
  <c r="F107" i="26"/>
  <c r="B109" i="26"/>
  <c r="W109" i="26" s="1"/>
  <c r="D108" i="26" l="1"/>
  <c r="F109" i="26"/>
  <c r="Z109" i="26"/>
  <c r="D107" i="26"/>
  <c r="D109" i="26" l="1"/>
  <c r="Y109" i="26"/>
  <c r="D96" i="26" l="1"/>
  <c r="F90" i="26"/>
  <c r="F89" i="26" s="1"/>
  <c r="Y89" i="26"/>
  <c r="W89" i="26"/>
  <c r="W87" i="26" s="1"/>
  <c r="N89" i="26"/>
  <c r="N87" i="26" s="1"/>
  <c r="D89" i="26"/>
  <c r="F88" i="26"/>
  <c r="F87" i="26" s="1"/>
  <c r="E87" i="26"/>
  <c r="D87" i="26"/>
  <c r="F86" i="26"/>
  <c r="F85" i="26" s="1"/>
  <c r="Y85" i="26"/>
  <c r="W85" i="26"/>
  <c r="N85" i="26"/>
  <c r="E85" i="26"/>
  <c r="D85" i="26"/>
  <c r="F84" i="26"/>
  <c r="F83" i="26" s="1"/>
  <c r="Y83" i="26"/>
  <c r="W83" i="26"/>
  <c r="N83" i="26"/>
  <c r="E83" i="26"/>
  <c r="D83" i="26"/>
  <c r="F82" i="26"/>
  <c r="F81" i="26"/>
  <c r="Y81" i="26" s="1"/>
  <c r="Y80" i="26" s="1"/>
  <c r="W80" i="26"/>
  <c r="N80" i="26"/>
  <c r="E80" i="26"/>
  <c r="D80" i="26"/>
  <c r="M79" i="26"/>
  <c r="L79" i="26"/>
  <c r="K79" i="26"/>
  <c r="J79" i="26"/>
  <c r="I79" i="26"/>
  <c r="H79" i="26"/>
  <c r="G79" i="26"/>
  <c r="F78" i="26"/>
  <c r="Y78" i="26" s="1"/>
  <c r="F77" i="26"/>
  <c r="Y77" i="26" s="1"/>
  <c r="F76" i="26"/>
  <c r="Y76" i="26" s="1"/>
  <c r="F75" i="26"/>
  <c r="Y75" i="26" s="1"/>
  <c r="F74" i="26"/>
  <c r="Y74" i="26" s="1"/>
  <c r="F73" i="26"/>
  <c r="Y73" i="26" s="1"/>
  <c r="F72" i="26"/>
  <c r="Y72" i="26" s="1"/>
  <c r="F71" i="26"/>
  <c r="Y71" i="26" s="1"/>
  <c r="F70" i="26"/>
  <c r="Y70" i="26" s="1"/>
  <c r="F69" i="26"/>
  <c r="Y69" i="26" s="1"/>
  <c r="W68" i="26"/>
  <c r="N68" i="26"/>
  <c r="N64" i="26" s="1"/>
  <c r="F68" i="26"/>
  <c r="Y68" i="26" s="1"/>
  <c r="F67" i="26"/>
  <c r="Y67" i="26" s="1"/>
  <c r="F66" i="26"/>
  <c r="Y66" i="26" s="1"/>
  <c r="F65" i="26"/>
  <c r="Y65" i="26" s="1"/>
  <c r="AF64" i="26"/>
  <c r="E64" i="26"/>
  <c r="D64" i="26"/>
  <c r="AF62" i="26"/>
  <c r="W62" i="26"/>
  <c r="Y62" i="26" s="1"/>
  <c r="N62" i="26"/>
  <c r="N61" i="26" s="1"/>
  <c r="F61" i="26"/>
  <c r="E60" i="26"/>
  <c r="D60" i="26"/>
  <c r="N59" i="26"/>
  <c r="F57" i="26"/>
  <c r="F55" i="26"/>
  <c r="W54" i="26"/>
  <c r="N54" i="26"/>
  <c r="E54" i="26"/>
  <c r="D54" i="26"/>
  <c r="F53" i="26"/>
  <c r="Y53" i="26" s="1"/>
  <c r="F52" i="26"/>
  <c r="Y52" i="26" s="1"/>
  <c r="F51" i="26"/>
  <c r="Y51" i="26" s="1"/>
  <c r="F50" i="26"/>
  <c r="Y50" i="26" s="1"/>
  <c r="W49" i="26"/>
  <c r="N49" i="26"/>
  <c r="F49" i="26"/>
  <c r="F48" i="26"/>
  <c r="Y48" i="26" s="1"/>
  <c r="F47" i="26"/>
  <c r="F46" i="26"/>
  <c r="Y46" i="26" s="1"/>
  <c r="F45" i="26"/>
  <c r="Y45" i="26" s="1"/>
  <c r="W44" i="26"/>
  <c r="F44" i="26"/>
  <c r="E43" i="26"/>
  <c r="D43" i="26"/>
  <c r="F42" i="26"/>
  <c r="Y42" i="26" s="1"/>
  <c r="F41" i="26"/>
  <c r="Y41" i="26" s="1"/>
  <c r="W40" i="26"/>
  <c r="N40" i="26"/>
  <c r="E40" i="26"/>
  <c r="D40" i="26"/>
  <c r="F39" i="26"/>
  <c r="Y39" i="26" s="1"/>
  <c r="F38" i="26"/>
  <c r="Y38" i="26" s="1"/>
  <c r="F34" i="26"/>
  <c r="Y34" i="26" s="1"/>
  <c r="W33" i="26"/>
  <c r="N33" i="26"/>
  <c r="E33" i="26"/>
  <c r="D33" i="26"/>
  <c r="F31" i="26"/>
  <c r="E30" i="26"/>
  <c r="F29" i="26"/>
  <c r="Y29" i="26" s="1"/>
  <c r="W28" i="26"/>
  <c r="F28" i="26"/>
  <c r="N27" i="26"/>
  <c r="E27" i="26"/>
  <c r="D27" i="26"/>
  <c r="F26" i="26"/>
  <c r="Y26" i="26" s="1"/>
  <c r="F25" i="26"/>
  <c r="Y25" i="26" s="1"/>
  <c r="AE24" i="26"/>
  <c r="F24" i="26"/>
  <c r="Y24" i="26" s="1"/>
  <c r="F23" i="26"/>
  <c r="Y23" i="26" s="1"/>
  <c r="W22" i="26"/>
  <c r="N22" i="26"/>
  <c r="E22" i="26"/>
  <c r="D22" i="26"/>
  <c r="W21" i="26"/>
  <c r="F21" i="26"/>
  <c r="W20" i="26"/>
  <c r="N20" i="26"/>
  <c r="N17" i="26" s="1"/>
  <c r="F20" i="26"/>
  <c r="W19" i="26"/>
  <c r="F19" i="26"/>
  <c r="Y19" i="26" s="1"/>
  <c r="W18" i="26"/>
  <c r="F18" i="26"/>
  <c r="Y18" i="26" s="1"/>
  <c r="E17" i="26"/>
  <c r="D17" i="26"/>
  <c r="F16" i="26"/>
  <c r="Y16" i="26" s="1"/>
  <c r="F15" i="26"/>
  <c r="Y15" i="26" s="1"/>
  <c r="W14" i="26"/>
  <c r="N14" i="26"/>
  <c r="E14" i="26"/>
  <c r="D14" i="26"/>
  <c r="F13" i="26"/>
  <c r="Y13" i="26" s="1"/>
  <c r="F12" i="26"/>
  <c r="Y12" i="26" s="1"/>
  <c r="W11" i="26"/>
  <c r="N11" i="26"/>
  <c r="E11" i="26"/>
  <c r="D11" i="26"/>
  <c r="F10" i="26"/>
  <c r="Y10" i="26" s="1"/>
  <c r="W9" i="26"/>
  <c r="N9" i="26"/>
  <c r="E9" i="26"/>
  <c r="D9" i="26"/>
  <c r="Y44" i="26" l="1"/>
  <c r="Y28" i="26"/>
  <c r="Y20" i="26"/>
  <c r="Y49" i="26"/>
  <c r="X21" i="26"/>
  <c r="AG21" i="26" s="1"/>
  <c r="W61" i="26"/>
  <c r="Y61" i="26" s="1"/>
  <c r="X31" i="26"/>
  <c r="AG31" i="26" s="1"/>
  <c r="Y31" i="26"/>
  <c r="X57" i="26"/>
  <c r="AG57" i="26" s="1"/>
  <c r="Y57" i="26"/>
  <c r="X55" i="26"/>
  <c r="AG55" i="26" s="1"/>
  <c r="Y55" i="26"/>
  <c r="X47" i="26"/>
  <c r="AG47" i="26" s="1"/>
  <c r="Y47" i="26"/>
  <c r="Y21" i="26"/>
  <c r="X16" i="26"/>
  <c r="AG16" i="26" s="1"/>
  <c r="X34" i="26"/>
  <c r="AG34" i="26" s="1"/>
  <c r="X44" i="26"/>
  <c r="AG44" i="26" s="1"/>
  <c r="X46" i="26"/>
  <c r="AG46" i="26" s="1"/>
  <c r="X23" i="26"/>
  <c r="AG23" i="26" s="1"/>
  <c r="X50" i="26"/>
  <c r="AG50" i="26" s="1"/>
  <c r="X65" i="26"/>
  <c r="AG65" i="26" s="1"/>
  <c r="X66" i="26"/>
  <c r="AG66" i="26" s="1"/>
  <c r="X67" i="26"/>
  <c r="AG67" i="26" s="1"/>
  <c r="X45" i="26"/>
  <c r="AG45" i="26" s="1"/>
  <c r="W64" i="26"/>
  <c r="X68" i="26"/>
  <c r="AG68" i="26" s="1"/>
  <c r="X24" i="26"/>
  <c r="AG24" i="26" s="1"/>
  <c r="X48" i="26"/>
  <c r="AG48" i="26" s="1"/>
  <c r="X70" i="26"/>
  <c r="AG70" i="26" s="1"/>
  <c r="X38" i="26"/>
  <c r="AG38" i="26" s="1"/>
  <c r="X71" i="26"/>
  <c r="AG71" i="26" s="1"/>
  <c r="X25" i="26"/>
  <c r="AG25" i="26" s="1"/>
  <c r="X10" i="26"/>
  <c r="AG10" i="26" s="1"/>
  <c r="X26" i="26"/>
  <c r="AG26" i="26" s="1"/>
  <c r="X73" i="26"/>
  <c r="AG73" i="26" s="1"/>
  <c r="X51" i="26"/>
  <c r="AG51" i="26" s="1"/>
  <c r="X19" i="26"/>
  <c r="AG19" i="26" s="1"/>
  <c r="X41" i="26"/>
  <c r="AG41" i="26" s="1"/>
  <c r="X12" i="26"/>
  <c r="AG12" i="26" s="1"/>
  <c r="AF27" i="26"/>
  <c r="X28" i="26"/>
  <c r="AG28" i="26" s="1"/>
  <c r="X15" i="26"/>
  <c r="AG15" i="26" s="1"/>
  <c r="X69" i="26"/>
  <c r="AG69" i="26" s="1"/>
  <c r="X39" i="26"/>
  <c r="AG39" i="26" s="1"/>
  <c r="X72" i="26"/>
  <c r="AG72" i="26" s="1"/>
  <c r="X49" i="26"/>
  <c r="AG49" i="26" s="1"/>
  <c r="X74" i="26"/>
  <c r="AG74" i="26" s="1"/>
  <c r="X18" i="26"/>
  <c r="AG18" i="26" s="1"/>
  <c r="X75" i="26"/>
  <c r="AG75" i="26" s="1"/>
  <c r="X62" i="26"/>
  <c r="AG62" i="26" s="1"/>
  <c r="X76" i="26"/>
  <c r="AG76" i="26" s="1"/>
  <c r="X52" i="26"/>
  <c r="AG52" i="26" s="1"/>
  <c r="X77" i="26"/>
  <c r="AG77" i="26" s="1"/>
  <c r="X53" i="26"/>
  <c r="AG53" i="26" s="1"/>
  <c r="X78" i="26"/>
  <c r="AG78" i="26" s="1"/>
  <c r="X20" i="26"/>
  <c r="AG20" i="26" s="1"/>
  <c r="X42" i="26"/>
  <c r="AG42" i="26" s="1"/>
  <c r="X13" i="26"/>
  <c r="AG13" i="26" s="1"/>
  <c r="X29" i="26"/>
  <c r="AG29" i="26" s="1"/>
  <c r="D32" i="26"/>
  <c r="W60" i="26"/>
  <c r="N60" i="26"/>
  <c r="D79" i="26"/>
  <c r="E8" i="26"/>
  <c r="F43" i="26"/>
  <c r="W17" i="26"/>
  <c r="F30" i="26"/>
  <c r="F40" i="26"/>
  <c r="Y40" i="26" s="1"/>
  <c r="N47" i="26"/>
  <c r="N44" i="26" s="1"/>
  <c r="N43" i="26" s="1"/>
  <c r="F54" i="26"/>
  <c r="Y54" i="26" s="1"/>
  <c r="E58" i="26"/>
  <c r="E56" i="26" s="1"/>
  <c r="E32" i="26" s="1"/>
  <c r="E79" i="26"/>
  <c r="F56" i="26"/>
  <c r="Y56" i="26" s="1"/>
  <c r="F60" i="26"/>
  <c r="W27" i="26"/>
  <c r="F80" i="26"/>
  <c r="F79" i="26" s="1"/>
  <c r="F64" i="26"/>
  <c r="D58" i="26"/>
  <c r="F33" i="26"/>
  <c r="W43" i="26"/>
  <c r="F9" i="26"/>
  <c r="Y9" i="26" s="1"/>
  <c r="F14" i="26"/>
  <c r="Y14" i="26" s="1"/>
  <c r="F17" i="26"/>
  <c r="F27" i="26"/>
  <c r="D8" i="26"/>
  <c r="F11" i="26"/>
  <c r="Y11" i="26" s="1"/>
  <c r="F22" i="26"/>
  <c r="Y22" i="26" s="1"/>
  <c r="X27" i="26" l="1"/>
  <c r="AG27" i="26" s="1"/>
  <c r="Y43" i="26"/>
  <c r="X40" i="26"/>
  <c r="AG40" i="26" s="1"/>
  <c r="X14" i="26"/>
  <c r="AG14" i="26" s="1"/>
  <c r="X54" i="26"/>
  <c r="AG54" i="26" s="1"/>
  <c r="X61" i="26"/>
  <c r="AG61" i="26" s="1"/>
  <c r="Y17" i="26"/>
  <c r="Y64" i="26"/>
  <c r="Y60" i="26"/>
  <c r="Y27" i="26"/>
  <c r="X17" i="26"/>
  <c r="AG17" i="26" s="1"/>
  <c r="X33" i="26"/>
  <c r="AG33" i="26" s="1"/>
  <c r="Y33" i="26"/>
  <c r="X9" i="26"/>
  <c r="AG9" i="26" s="1"/>
  <c r="AC59" i="26"/>
  <c r="X64" i="26"/>
  <c r="AG64" i="26" s="1"/>
  <c r="X22" i="26"/>
  <c r="AG22" i="26" s="1"/>
  <c r="X11" i="26"/>
  <c r="AG11" i="26" s="1"/>
  <c r="X60" i="26"/>
  <c r="AG60" i="26" s="1"/>
  <c r="X43" i="26"/>
  <c r="AG43" i="26" s="1"/>
  <c r="X56" i="26"/>
  <c r="AG56" i="26" s="1"/>
  <c r="F58" i="26"/>
  <c r="F32" i="26"/>
  <c r="O79" i="26"/>
  <c r="E91" i="26"/>
  <c r="N7" i="26"/>
  <c r="W30" i="26"/>
  <c r="X30" i="26" s="1"/>
  <c r="E7" i="26"/>
  <c r="D7" i="26"/>
  <c r="D91" i="26"/>
  <c r="F8" i="26"/>
  <c r="Y30" i="26" l="1"/>
  <c r="O58" i="26"/>
  <c r="O8" i="26"/>
  <c r="F91" i="26"/>
  <c r="C100" i="26" s="1"/>
  <c r="Z79" i="26"/>
  <c r="AG79" i="26" s="1"/>
  <c r="F7" i="26"/>
  <c r="O32" i="26"/>
  <c r="AG30" i="26"/>
  <c r="AF8" i="26"/>
  <c r="Z58" i="26" l="1"/>
  <c r="AG58" i="26" s="1"/>
  <c r="O7" i="26"/>
  <c r="Z32" i="26"/>
  <c r="AG32" i="26" s="1"/>
  <c r="AC9" i="26"/>
  <c r="Z8" i="26"/>
  <c r="AG8" i="26" s="1"/>
  <c r="AF7" i="26"/>
  <c r="AH2" i="26" l="1"/>
  <c r="AL7" i="26"/>
  <c r="AC107" i="26"/>
  <c r="AC108" i="26" s="1"/>
  <c r="AG7" i="26"/>
  <c r="L7" i="25" l="1"/>
  <c r="Q15" i="21" l="1"/>
  <c r="Q13" i="21"/>
  <c r="Q9" i="21"/>
  <c r="Q9" i="18"/>
  <c r="O14" i="17"/>
  <c r="O11" i="17"/>
  <c r="O7" i="17"/>
  <c r="O19" i="17" s="1"/>
  <c r="Q18" i="21" l="1"/>
  <c r="G9" i="21"/>
  <c r="F9" i="21"/>
  <c r="L26" i="21"/>
  <c r="J26" i="21"/>
  <c r="H26" i="21"/>
  <c r="G26" i="21"/>
  <c r="F26" i="21"/>
  <c r="E26" i="21"/>
  <c r="L40" i="18"/>
  <c r="J40" i="18"/>
  <c r="H40" i="18"/>
  <c r="G40" i="18"/>
  <c r="F40" i="18"/>
  <c r="E40" i="18"/>
  <c r="K26" i="17"/>
  <c r="I26" i="17"/>
  <c r="G26" i="17"/>
  <c r="R15" i="21"/>
  <c r="S15" i="21"/>
  <c r="T15" i="21"/>
  <c r="P15" i="21"/>
  <c r="R13" i="21"/>
  <c r="S13" i="21"/>
  <c r="T13" i="21"/>
  <c r="P13" i="21"/>
  <c r="R9" i="21"/>
  <c r="S9" i="21"/>
  <c r="T9" i="21"/>
  <c r="P9" i="21"/>
  <c r="H17" i="21"/>
  <c r="H16" i="21"/>
  <c r="G15" i="21"/>
  <c r="F15" i="21"/>
  <c r="C15" i="21"/>
  <c r="H14" i="21"/>
  <c r="H13" i="21" s="1"/>
  <c r="G13" i="21"/>
  <c r="F13" i="21"/>
  <c r="C13" i="21"/>
  <c r="H10" i="21"/>
  <c r="H9" i="21" s="1"/>
  <c r="C9" i="21"/>
  <c r="F17" i="17"/>
  <c r="F14" i="17" s="1"/>
  <c r="E14" i="17"/>
  <c r="D14" i="17"/>
  <c r="F13" i="17"/>
  <c r="F12" i="17"/>
  <c r="E11" i="17"/>
  <c r="D11" i="17"/>
  <c r="F10" i="17"/>
  <c r="F9" i="17"/>
  <c r="F8" i="17"/>
  <c r="E7" i="17"/>
  <c r="D7" i="17"/>
  <c r="R32" i="18"/>
  <c r="S32" i="18"/>
  <c r="T32" i="18"/>
  <c r="P32" i="18"/>
  <c r="P14" i="17"/>
  <c r="Q14" i="17"/>
  <c r="R14" i="17"/>
  <c r="N14" i="17"/>
  <c r="P11" i="17"/>
  <c r="Q11" i="17"/>
  <c r="R11" i="17"/>
  <c r="N11" i="17"/>
  <c r="P7" i="17"/>
  <c r="Q7" i="17"/>
  <c r="R7" i="17"/>
  <c r="N7" i="17"/>
  <c r="F26" i="17"/>
  <c r="E26" i="17"/>
  <c r="D26" i="17"/>
  <c r="Q19" i="17" l="1"/>
  <c r="R19" i="17"/>
  <c r="S18" i="21"/>
  <c r="N19" i="17"/>
  <c r="P19" i="17"/>
  <c r="E19" i="17"/>
  <c r="F11" i="17"/>
  <c r="G18" i="21"/>
  <c r="D19" i="17"/>
  <c r="F7" i="17"/>
  <c r="H15" i="21"/>
  <c r="H18" i="21" s="1"/>
  <c r="F18" i="21"/>
  <c r="P18" i="21"/>
  <c r="T18" i="21"/>
  <c r="R18" i="21"/>
  <c r="F19" i="17" l="1"/>
  <c r="W24" i="7"/>
  <c r="W14" i="7" l="1"/>
  <c r="W39" i="7"/>
  <c r="W50" i="7"/>
  <c r="W49" i="7"/>
  <c r="W76" i="7"/>
  <c r="W45" i="7"/>
  <c r="W59" i="7"/>
  <c r="W77" i="7"/>
  <c r="W75" i="7"/>
  <c r="W68" i="7"/>
  <c r="W53" i="7"/>
  <c r="W52" i="7"/>
  <c r="E99" i="10" l="1"/>
  <c r="Y98" i="10"/>
  <c r="R97" i="10"/>
  <c r="Y97" i="10" s="1"/>
  <c r="W96" i="10"/>
  <c r="W95" i="10"/>
  <c r="Y95" i="10" s="1"/>
  <c r="R94" i="10"/>
  <c r="Y94" i="10" s="1"/>
  <c r="R93" i="10"/>
  <c r="R92" i="10"/>
  <c r="Y92" i="10" s="1"/>
  <c r="V91" i="10"/>
  <c r="U91" i="10"/>
  <c r="T91" i="10"/>
  <c r="S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C91" i="10"/>
  <c r="R90" i="10"/>
  <c r="Y90" i="10" s="1"/>
  <c r="R89" i="10"/>
  <c r="Y89" i="10" s="1"/>
  <c r="R88" i="10"/>
  <c r="Y88" i="10" s="1"/>
  <c r="R87" i="10"/>
  <c r="Y87" i="10" s="1"/>
  <c r="O86" i="10"/>
  <c r="Y86" i="10" s="1"/>
  <c r="O85" i="10"/>
  <c r="Y85" i="10" s="1"/>
  <c r="W84" i="10"/>
  <c r="V84" i="10"/>
  <c r="U84" i="10"/>
  <c r="T84" i="10"/>
  <c r="S84" i="10"/>
  <c r="Q84" i="10"/>
  <c r="P84" i="10"/>
  <c r="N84" i="10"/>
  <c r="M84" i="10"/>
  <c r="L84" i="10"/>
  <c r="K84" i="10"/>
  <c r="J84" i="10"/>
  <c r="I84" i="10"/>
  <c r="H84" i="10"/>
  <c r="F84" i="10"/>
  <c r="E84" i="10"/>
  <c r="D84" i="10"/>
  <c r="C84" i="10"/>
  <c r="I83" i="10"/>
  <c r="Y83" i="10" s="1"/>
  <c r="I82" i="10"/>
  <c r="Y82" i="10" s="1"/>
  <c r="I81" i="10"/>
  <c r="Y81" i="10" s="1"/>
  <c r="I80" i="10"/>
  <c r="Y80" i="10" s="1"/>
  <c r="I79" i="10"/>
  <c r="Y79" i="10" s="1"/>
  <c r="I78" i="10"/>
  <c r="Y78" i="10" s="1"/>
  <c r="I77" i="10"/>
  <c r="Y77" i="10" s="1"/>
  <c r="I76" i="10"/>
  <c r="Y76" i="10" s="1"/>
  <c r="I75" i="10"/>
  <c r="Y75" i="10" s="1"/>
  <c r="I74" i="10"/>
  <c r="Y74" i="10" s="1"/>
  <c r="I73" i="10"/>
  <c r="Y73" i="10" s="1"/>
  <c r="I72" i="10"/>
  <c r="Y72" i="10" s="1"/>
  <c r="I71" i="10"/>
  <c r="Y71" i="10" s="1"/>
  <c r="I70" i="10"/>
  <c r="Y70" i="10" s="1"/>
  <c r="I69" i="10"/>
  <c r="Y69" i="10" s="1"/>
  <c r="I68" i="10"/>
  <c r="Y68" i="10" s="1"/>
  <c r="I67" i="10"/>
  <c r="Y67" i="10" s="1"/>
  <c r="I66" i="10"/>
  <c r="Y66" i="10" s="1"/>
  <c r="I65" i="10"/>
  <c r="Y65" i="10" s="1"/>
  <c r="I64" i="10"/>
  <c r="Y64" i="10" s="1"/>
  <c r="I63" i="10"/>
  <c r="Y63" i="10" s="1"/>
  <c r="I62" i="10"/>
  <c r="Y62" i="10" s="1"/>
  <c r="I61" i="10"/>
  <c r="Y61" i="10" s="1"/>
  <c r="I60" i="10"/>
  <c r="Y60" i="10" s="1"/>
  <c r="I59" i="10"/>
  <c r="Y59" i="10" s="1"/>
  <c r="W58" i="10"/>
  <c r="Y58" i="10" s="1"/>
  <c r="W57" i="10"/>
  <c r="Y57" i="10" s="1"/>
  <c r="I56" i="10"/>
  <c r="Y56" i="10" s="1"/>
  <c r="W55" i="10"/>
  <c r="Y55" i="10" s="1"/>
  <c r="W54" i="10"/>
  <c r="Y54" i="10" s="1"/>
  <c r="I53" i="10"/>
  <c r="Y53" i="10" s="1"/>
  <c r="I52" i="10"/>
  <c r="Y52" i="10" s="1"/>
  <c r="I51" i="10"/>
  <c r="Y51" i="10" s="1"/>
  <c r="I50" i="10"/>
  <c r="Y50" i="10" s="1"/>
  <c r="I49" i="10"/>
  <c r="Y49" i="10" s="1"/>
  <c r="I48" i="10"/>
  <c r="Y48" i="10" s="1"/>
  <c r="I47" i="10"/>
  <c r="Y47" i="10" s="1"/>
  <c r="I46" i="10"/>
  <c r="Y46" i="10" s="1"/>
  <c r="I45" i="10"/>
  <c r="Y45" i="10" s="1"/>
  <c r="I44" i="10"/>
  <c r="Y44" i="10" s="1"/>
  <c r="I43" i="10"/>
  <c r="Y43" i="10" s="1"/>
  <c r="I42" i="10"/>
  <c r="Y42" i="10" s="1"/>
  <c r="I41" i="10"/>
  <c r="Y41" i="10" s="1"/>
  <c r="I40" i="10"/>
  <c r="Y40" i="10" s="1"/>
  <c r="I39" i="10"/>
  <c r="Y39" i="10" s="1"/>
  <c r="I38" i="10"/>
  <c r="Y38" i="10" s="1"/>
  <c r="I37" i="10"/>
  <c r="Y37" i="10" s="1"/>
  <c r="I36" i="10"/>
  <c r="Y36" i="10" s="1"/>
  <c r="I35" i="10"/>
  <c r="Y35" i="10" s="1"/>
  <c r="I34" i="10"/>
  <c r="Y34" i="10" s="1"/>
  <c r="V33" i="10"/>
  <c r="U33" i="10"/>
  <c r="T33" i="10"/>
  <c r="S33" i="10"/>
  <c r="R33" i="10"/>
  <c r="Q33" i="10"/>
  <c r="P33" i="10"/>
  <c r="O33" i="10"/>
  <c r="N33" i="10"/>
  <c r="M33" i="10"/>
  <c r="L33" i="10"/>
  <c r="H33" i="10"/>
  <c r="F33" i="10"/>
  <c r="E33" i="10"/>
  <c r="D33" i="10"/>
  <c r="C33" i="10"/>
  <c r="I32" i="10"/>
  <c r="Y32" i="10" s="1"/>
  <c r="I31" i="10"/>
  <c r="Y31" i="10" s="1"/>
  <c r="I30" i="10"/>
  <c r="Y30" i="10" s="1"/>
  <c r="I29" i="10"/>
  <c r="Y29" i="10" s="1"/>
  <c r="W28" i="10"/>
  <c r="V28" i="10"/>
  <c r="U28" i="10"/>
  <c r="T28" i="10"/>
  <c r="S28" i="10"/>
  <c r="R28" i="10"/>
  <c r="Q28" i="10"/>
  <c r="P28" i="10"/>
  <c r="O28" i="10"/>
  <c r="N28" i="10"/>
  <c r="M28" i="10"/>
  <c r="L28" i="10"/>
  <c r="H28" i="10"/>
  <c r="F28" i="10"/>
  <c r="E28" i="10"/>
  <c r="D28" i="10"/>
  <c r="C28" i="10"/>
  <c r="Y27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I26" i="10"/>
  <c r="H26" i="10"/>
  <c r="G26" i="10"/>
  <c r="F26" i="10"/>
  <c r="E26" i="10"/>
  <c r="D26" i="10"/>
  <c r="C26" i="10"/>
  <c r="I25" i="10"/>
  <c r="Y25" i="10" s="1"/>
  <c r="I24" i="10"/>
  <c r="Y24" i="10" s="1"/>
  <c r="I23" i="10"/>
  <c r="Y23" i="10" s="1"/>
  <c r="W22" i="10"/>
  <c r="V22" i="10"/>
  <c r="U22" i="10"/>
  <c r="T22" i="10"/>
  <c r="S22" i="10"/>
  <c r="R22" i="10"/>
  <c r="Q22" i="10"/>
  <c r="P22" i="10"/>
  <c r="O22" i="10"/>
  <c r="N22" i="10"/>
  <c r="M22" i="10"/>
  <c r="L22" i="10"/>
  <c r="H22" i="10"/>
  <c r="F22" i="10"/>
  <c r="E22" i="10"/>
  <c r="D22" i="10"/>
  <c r="C22" i="10"/>
  <c r="I21" i="10"/>
  <c r="Y21" i="10" s="1"/>
  <c r="P20" i="10"/>
  <c r="P17" i="10" s="1"/>
  <c r="I19" i="10"/>
  <c r="Y19" i="10" s="1"/>
  <c r="I18" i="10"/>
  <c r="W17" i="10"/>
  <c r="V17" i="10"/>
  <c r="U17" i="10"/>
  <c r="T17" i="10"/>
  <c r="S17" i="10"/>
  <c r="R17" i="10"/>
  <c r="Q17" i="10"/>
  <c r="O17" i="10"/>
  <c r="N17" i="10"/>
  <c r="M17" i="10"/>
  <c r="L17" i="10"/>
  <c r="H17" i="10"/>
  <c r="F17" i="10"/>
  <c r="E17" i="10"/>
  <c r="D17" i="10"/>
  <c r="C17" i="10"/>
  <c r="Y16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F15" i="10"/>
  <c r="E15" i="10"/>
  <c r="D15" i="10"/>
  <c r="C15" i="10"/>
  <c r="I14" i="10"/>
  <c r="Y14" i="10" s="1"/>
  <c r="I13" i="10"/>
  <c r="Y13" i="10" s="1"/>
  <c r="I12" i="10"/>
  <c r="Y12" i="10" s="1"/>
  <c r="I11" i="10"/>
  <c r="Y11" i="10" s="1"/>
  <c r="Y10" i="10"/>
  <c r="W9" i="10"/>
  <c r="V9" i="10"/>
  <c r="U9" i="10"/>
  <c r="T9" i="10"/>
  <c r="S9" i="10"/>
  <c r="R9" i="10"/>
  <c r="Q9" i="10"/>
  <c r="P9" i="10"/>
  <c r="O9" i="10"/>
  <c r="N9" i="10"/>
  <c r="M9" i="10"/>
  <c r="J9" i="10"/>
  <c r="H9" i="10"/>
  <c r="F9" i="10"/>
  <c r="E9" i="10"/>
  <c r="D9" i="10"/>
  <c r="C9" i="10"/>
  <c r="Q8" i="10"/>
  <c r="Y8" i="10" s="1"/>
  <c r="C8" i="10"/>
  <c r="C7" i="10" s="1"/>
  <c r="W7" i="10"/>
  <c r="V7" i="10"/>
  <c r="U7" i="10"/>
  <c r="T7" i="10"/>
  <c r="S7" i="10"/>
  <c r="R7" i="10"/>
  <c r="P7" i="10"/>
  <c r="O7" i="10"/>
  <c r="N7" i="10"/>
  <c r="M7" i="10"/>
  <c r="K7" i="10"/>
  <c r="J7" i="10"/>
  <c r="I7" i="10"/>
  <c r="H7" i="10"/>
  <c r="G7" i="10"/>
  <c r="F7" i="10"/>
  <c r="E7" i="10"/>
  <c r="D7" i="10"/>
  <c r="O84" i="10" l="1"/>
  <c r="G100" i="10"/>
  <c r="I17" i="10"/>
  <c r="C100" i="10"/>
  <c r="O100" i="10"/>
  <c r="Y20" i="10"/>
  <c r="I28" i="10"/>
  <c r="Y28" i="10" s="1"/>
  <c r="R91" i="10"/>
  <c r="W91" i="10"/>
  <c r="N100" i="10"/>
  <c r="I33" i="10"/>
  <c r="W33" i="10"/>
  <c r="Y33" i="10" s="1"/>
  <c r="U100" i="10"/>
  <c r="I22" i="10"/>
  <c r="Y22" i="10" s="1"/>
  <c r="V100" i="10"/>
  <c r="Y18" i="10"/>
  <c r="F100" i="10"/>
  <c r="M100" i="10"/>
  <c r="T100" i="10"/>
  <c r="Y15" i="10"/>
  <c r="Y93" i="10"/>
  <c r="Y96" i="10"/>
  <c r="P100" i="10"/>
  <c r="Y17" i="10"/>
  <c r="R84" i="10"/>
  <c r="Y84" i="10" s="1"/>
  <c r="Y26" i="10"/>
  <c r="H100" i="10"/>
  <c r="D100" i="10"/>
  <c r="J100" i="10"/>
  <c r="E100" i="10"/>
  <c r="K100" i="10"/>
  <c r="S100" i="10"/>
  <c r="Q7" i="10"/>
  <c r="Q100" i="10" s="1"/>
  <c r="I9" i="10"/>
  <c r="Y9" i="10" s="1"/>
  <c r="Y16" i="7"/>
  <c r="Y10" i="7"/>
  <c r="Y24" i="7"/>
  <c r="Y27" i="7"/>
  <c r="I84" i="7"/>
  <c r="J84" i="7"/>
  <c r="K84" i="7"/>
  <c r="L84" i="7"/>
  <c r="M84" i="7"/>
  <c r="N84" i="7"/>
  <c r="P84" i="7"/>
  <c r="Q84" i="7"/>
  <c r="S84" i="7"/>
  <c r="T84" i="7"/>
  <c r="U84" i="7"/>
  <c r="V84" i="7"/>
  <c r="W84" i="7"/>
  <c r="L33" i="7"/>
  <c r="M33" i="7"/>
  <c r="N33" i="7"/>
  <c r="O33" i="7"/>
  <c r="P33" i="7"/>
  <c r="Q33" i="7"/>
  <c r="R33" i="7"/>
  <c r="S33" i="7"/>
  <c r="T33" i="7"/>
  <c r="U33" i="7"/>
  <c r="V33" i="7"/>
  <c r="W58" i="7"/>
  <c r="Y58" i="7" s="1"/>
  <c r="E91" i="7"/>
  <c r="F91" i="7"/>
  <c r="G91" i="7"/>
  <c r="H91" i="7"/>
  <c r="I91" i="7"/>
  <c r="J91" i="7"/>
  <c r="K91" i="7"/>
  <c r="L91" i="7"/>
  <c r="M91" i="7"/>
  <c r="N91" i="7"/>
  <c r="O91" i="7"/>
  <c r="P91" i="7"/>
  <c r="Q91" i="7"/>
  <c r="S91" i="7"/>
  <c r="T91" i="7"/>
  <c r="U91" i="7"/>
  <c r="V91" i="7"/>
  <c r="L17" i="7"/>
  <c r="M17" i="7"/>
  <c r="N17" i="7"/>
  <c r="O17" i="7"/>
  <c r="Q17" i="7"/>
  <c r="R17" i="7"/>
  <c r="S17" i="7"/>
  <c r="T17" i="7"/>
  <c r="U17" i="7"/>
  <c r="V17" i="7"/>
  <c r="W17" i="7"/>
  <c r="L28" i="7"/>
  <c r="M28" i="7"/>
  <c r="N28" i="7"/>
  <c r="O28" i="7"/>
  <c r="P28" i="7"/>
  <c r="Q28" i="7"/>
  <c r="R28" i="7"/>
  <c r="S28" i="7"/>
  <c r="T28" i="7"/>
  <c r="U28" i="7"/>
  <c r="V28" i="7"/>
  <c r="W28" i="7"/>
  <c r="L22" i="7"/>
  <c r="M22" i="7"/>
  <c r="N22" i="7"/>
  <c r="O22" i="7"/>
  <c r="P22" i="7"/>
  <c r="Q22" i="7"/>
  <c r="R22" i="7"/>
  <c r="S22" i="7"/>
  <c r="T22" i="7"/>
  <c r="U22" i="7"/>
  <c r="V22" i="7"/>
  <c r="W22" i="7"/>
  <c r="G26" i="7"/>
  <c r="H26" i="7"/>
  <c r="I26" i="7"/>
  <c r="L26" i="7"/>
  <c r="M26" i="7"/>
  <c r="N26" i="7"/>
  <c r="O26" i="7"/>
  <c r="P26" i="7"/>
  <c r="Q26" i="7"/>
  <c r="R26" i="7"/>
  <c r="S26" i="7"/>
  <c r="T26" i="7"/>
  <c r="U26" i="7"/>
  <c r="V26" i="7"/>
  <c r="W26" i="7"/>
  <c r="I42" i="7"/>
  <c r="Y42" i="7" s="1"/>
  <c r="Y43" i="7"/>
  <c r="Y44" i="7"/>
  <c r="Y45" i="7"/>
  <c r="I46" i="7"/>
  <c r="Y46" i="7" s="1"/>
  <c r="I47" i="7"/>
  <c r="Y47" i="7" s="1"/>
  <c r="I48" i="7"/>
  <c r="Y48" i="7" s="1"/>
  <c r="Y49" i="7"/>
  <c r="Y50" i="7"/>
  <c r="I51" i="7"/>
  <c r="Y51" i="7" s="1"/>
  <c r="I41" i="7"/>
  <c r="Y41" i="7" s="1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J9" i="7"/>
  <c r="M9" i="7"/>
  <c r="N9" i="7"/>
  <c r="O9" i="7"/>
  <c r="P9" i="7"/>
  <c r="Q9" i="7"/>
  <c r="R9" i="7"/>
  <c r="S9" i="7"/>
  <c r="T9" i="7"/>
  <c r="U9" i="7"/>
  <c r="V9" i="7"/>
  <c r="W9" i="7"/>
  <c r="F7" i="7"/>
  <c r="G7" i="7"/>
  <c r="H7" i="7"/>
  <c r="I7" i="7"/>
  <c r="J7" i="7"/>
  <c r="K7" i="7"/>
  <c r="M7" i="7"/>
  <c r="N7" i="7"/>
  <c r="O7" i="7"/>
  <c r="P7" i="7"/>
  <c r="R7" i="7"/>
  <c r="S7" i="7"/>
  <c r="T7" i="7"/>
  <c r="U7" i="7"/>
  <c r="V7" i="7"/>
  <c r="W7" i="7"/>
  <c r="I21" i="7"/>
  <c r="Y21" i="7" s="1"/>
  <c r="I18" i="7"/>
  <c r="Y18" i="7" s="1"/>
  <c r="I19" i="7"/>
  <c r="Y19" i="7" s="1"/>
  <c r="I13" i="7"/>
  <c r="Y13" i="7" s="1"/>
  <c r="I12" i="7"/>
  <c r="Y12" i="7" s="1"/>
  <c r="Y82" i="7"/>
  <c r="I81" i="7"/>
  <c r="Y81" i="7" s="1"/>
  <c r="I78" i="7"/>
  <c r="Y78" i="7" s="1"/>
  <c r="I79" i="7"/>
  <c r="Y79" i="7" s="1"/>
  <c r="I80" i="7"/>
  <c r="Y80" i="7" s="1"/>
  <c r="Y71" i="7"/>
  <c r="I70" i="7"/>
  <c r="Y70" i="7" s="1"/>
  <c r="I69" i="7"/>
  <c r="Y69" i="7" s="1"/>
  <c r="I65" i="7"/>
  <c r="Y65" i="7" s="1"/>
  <c r="I64" i="7"/>
  <c r="Y64" i="7" s="1"/>
  <c r="Y63" i="7"/>
  <c r="I62" i="7"/>
  <c r="Y62" i="7" s="1"/>
  <c r="I61" i="7"/>
  <c r="Y61" i="7" s="1"/>
  <c r="I60" i="7"/>
  <c r="Y60" i="7" s="1"/>
  <c r="I30" i="7"/>
  <c r="Y30" i="7" s="1"/>
  <c r="I31" i="7"/>
  <c r="Y31" i="7" s="1"/>
  <c r="I32" i="7"/>
  <c r="Y32" i="7" s="1"/>
  <c r="I29" i="7"/>
  <c r="Y29" i="7" s="1"/>
  <c r="Y59" i="7"/>
  <c r="R97" i="7"/>
  <c r="Y97" i="7" s="1"/>
  <c r="R94" i="7"/>
  <c r="Y94" i="7" s="1"/>
  <c r="R93" i="7"/>
  <c r="Y93" i="7" s="1"/>
  <c r="R92" i="7"/>
  <c r="I56" i="7"/>
  <c r="Y56" i="7" s="1"/>
  <c r="Y77" i="7"/>
  <c r="Y74" i="7"/>
  <c r="Y40" i="7"/>
  <c r="Y39" i="7"/>
  <c r="Y38" i="7"/>
  <c r="I37" i="7"/>
  <c r="Y37" i="7" s="1"/>
  <c r="Y72" i="7"/>
  <c r="Y76" i="7"/>
  <c r="W57" i="7"/>
  <c r="Y57" i="7" s="1"/>
  <c r="W55" i="7"/>
  <c r="Y55" i="7" s="1"/>
  <c r="W54" i="7"/>
  <c r="Y54" i="7" s="1"/>
  <c r="W100" i="10" l="1"/>
  <c r="Y91" i="10"/>
  <c r="R100" i="10"/>
  <c r="M99" i="7"/>
  <c r="R91" i="7"/>
  <c r="U99" i="7"/>
  <c r="G99" i="7"/>
  <c r="K99" i="7"/>
  <c r="T99" i="7"/>
  <c r="V99" i="7"/>
  <c r="J99" i="7"/>
  <c r="S99" i="7"/>
  <c r="L99" i="7"/>
  <c r="N99" i="7"/>
  <c r="I28" i="7"/>
  <c r="W33" i="7"/>
  <c r="Y92" i="7"/>
  <c r="I17" i="7"/>
  <c r="I100" i="10"/>
  <c r="Y7" i="10"/>
  <c r="Y75" i="7" l="1"/>
  <c r="Y68" i="7"/>
  <c r="Y53" i="7"/>
  <c r="Y52" i="7"/>
  <c r="I83" i="7"/>
  <c r="Y83" i="7" s="1"/>
  <c r="I36" i="7"/>
  <c r="Y36" i="7" s="1"/>
  <c r="I35" i="7"/>
  <c r="Y35" i="7" s="1"/>
  <c r="I34" i="7"/>
  <c r="W96" i="7"/>
  <c r="Y96" i="7" s="1"/>
  <c r="P20" i="7"/>
  <c r="Q8" i="7"/>
  <c r="R90" i="7"/>
  <c r="Y90" i="7" s="1"/>
  <c r="R89" i="7"/>
  <c r="Y89" i="7" s="1"/>
  <c r="R88" i="7"/>
  <c r="Y88" i="7" s="1"/>
  <c r="R87" i="7"/>
  <c r="O86" i="7"/>
  <c r="Y86" i="7" s="1"/>
  <c r="O85" i="7"/>
  <c r="I73" i="7"/>
  <c r="Y73" i="7" s="1"/>
  <c r="I25" i="7"/>
  <c r="Y25" i="7" s="1"/>
  <c r="I23" i="7"/>
  <c r="Y14" i="7"/>
  <c r="W95" i="7"/>
  <c r="Y67" i="7"/>
  <c r="Y66" i="7"/>
  <c r="Y23" i="7" l="1"/>
  <c r="I22" i="7"/>
  <c r="Y20" i="7"/>
  <c r="P17" i="7"/>
  <c r="P99" i="7" s="1"/>
  <c r="Y34" i="7"/>
  <c r="I33" i="7"/>
  <c r="Y95" i="7"/>
  <c r="W91" i="7"/>
  <c r="W99" i="7" s="1"/>
  <c r="Y11" i="7"/>
  <c r="I9" i="7"/>
  <c r="Y85" i="7"/>
  <c r="O84" i="7"/>
  <c r="O99" i="7" s="1"/>
  <c r="Y87" i="7"/>
  <c r="R84" i="7"/>
  <c r="R99" i="7" s="1"/>
  <c r="Y8" i="7"/>
  <c r="Q7" i="7"/>
  <c r="Q99" i="7" s="1"/>
  <c r="H22" i="7"/>
  <c r="H84" i="7"/>
  <c r="H33" i="7"/>
  <c r="H28" i="7"/>
  <c r="H17" i="7"/>
  <c r="H15" i="7"/>
  <c r="H9" i="7"/>
  <c r="F84" i="7"/>
  <c r="F33" i="7"/>
  <c r="F28" i="7"/>
  <c r="F26" i="7"/>
  <c r="F22" i="7"/>
  <c r="F17" i="7"/>
  <c r="F15" i="7"/>
  <c r="F9" i="7"/>
  <c r="C91" i="7"/>
  <c r="D84" i="7"/>
  <c r="E84" i="7"/>
  <c r="C84" i="7"/>
  <c r="D33" i="7"/>
  <c r="E33" i="7"/>
  <c r="C33" i="7"/>
  <c r="D28" i="7"/>
  <c r="E28" i="7"/>
  <c r="Y28" i="7" s="1"/>
  <c r="C28" i="7"/>
  <c r="D26" i="7"/>
  <c r="E26" i="7"/>
  <c r="C26" i="7"/>
  <c r="D22" i="7"/>
  <c r="E22" i="7"/>
  <c r="C22" i="7"/>
  <c r="D17" i="7"/>
  <c r="E17" i="7"/>
  <c r="C17" i="7"/>
  <c r="E15" i="7"/>
  <c r="Y15" i="7" s="1"/>
  <c r="D15" i="7"/>
  <c r="C15" i="7"/>
  <c r="D9" i="7"/>
  <c r="E9" i="7"/>
  <c r="C9" i="7"/>
  <c r="D7" i="7"/>
  <c r="C8" i="7"/>
  <c r="C7" i="7" s="1"/>
  <c r="E7" i="7"/>
  <c r="E98" i="7"/>
  <c r="Y22" i="7" l="1"/>
  <c r="Y84" i="7"/>
  <c r="Y17" i="7"/>
  <c r="D99" i="7"/>
  <c r="Y7" i="7"/>
  <c r="E99" i="7"/>
  <c r="C99" i="7"/>
  <c r="F99" i="7"/>
  <c r="I99" i="7"/>
  <c r="Y9" i="7"/>
  <c r="H99" i="7"/>
  <c r="Y33" i="7"/>
  <c r="Y91" i="7"/>
  <c r="Y26" i="7"/>
  <c r="I7" i="25" l="1"/>
  <c r="S7" i="25"/>
  <c r="N7" i="25"/>
  <c r="E7" i="25" l="1"/>
  <c r="D7" i="25" s="1"/>
  <c r="C7" i="25" s="1"/>
  <c r="T21" i="38" l="1"/>
  <c r="U22" i="38"/>
  <c r="U21" i="38" s="1"/>
  <c r="U7" i="38" s="1"/>
  <c r="U6" i="38" s="1"/>
  <c r="T7" i="38" l="1"/>
  <c r="T6" i="38" s="1"/>
  <c r="C3" i="35"/>
  <c r="S5" i="38" l="1"/>
  <c r="U4" i="38"/>
  <c r="U5" i="38" s="1"/>
  <c r="AD51" i="38"/>
  <c r="AD45" i="38" s="1"/>
  <c r="AD34" i="38" s="1"/>
  <c r="Y51" i="38"/>
  <c r="Y45" i="38" s="1"/>
  <c r="Y34" i="38" s="1"/>
  <c r="AN34" i="38" s="1"/>
  <c r="BJ34" i="38" l="1"/>
  <c r="BY34" i="38"/>
  <c r="BE34" i="38"/>
  <c r="AX34" i="38"/>
  <c r="Y6" i="38"/>
  <c r="BM34" i="38"/>
  <c r="BG34" i="38"/>
  <c r="BV34" i="38"/>
  <c r="BQ34" i="38"/>
  <c r="BL35" i="38"/>
  <c r="AU35" i="38"/>
  <c r="BT34" i="38"/>
  <c r="AD6" i="38"/>
  <c r="BQ6" i="38"/>
  <c r="AU6" i="38"/>
  <c r="AY6" i="38"/>
  <c r="AN6" i="38" l="1"/>
  <c r="AS1" i="38"/>
  <c r="BT6" i="38"/>
  <c r="BM6" i="38"/>
  <c r="AV8" i="38"/>
  <c r="AV10" i="38" s="1"/>
  <c r="BR6" i="38"/>
  <c r="BK8" i="38"/>
  <c r="BE6" i="38"/>
  <c r="BH6" i="38"/>
  <c r="AQ6" i="38"/>
  <c r="G5" i="33"/>
  <c r="E5" i="33"/>
  <c r="Q32" i="18"/>
  <c r="R6" i="38" l="1"/>
  <c r="R62" i="38"/>
  <c r="R61" i="38"/>
</calcChain>
</file>

<file path=xl/sharedStrings.xml><?xml version="1.0" encoding="utf-8"?>
<sst xmlns="http://schemas.openxmlformats.org/spreadsheetml/2006/main" count="2055" uniqueCount="811">
  <si>
    <t>ที่</t>
  </si>
  <si>
    <t xml:space="preserve">(1)
โครงการ/กิจกรรม
</t>
  </si>
  <si>
    <t>(4) = (2)+(3)
รวมงบประมาณที่ได้รับจัดสรร 
(ตาม พรบ.)</t>
  </si>
  <si>
    <t>(5)
ผลการเบิกจ่าย</t>
  </si>
  <si>
    <t>ก่อหนี้แล้ว</t>
  </si>
  <si>
    <t>(7.1)
จำนวน (รายการ)</t>
  </si>
  <si>
    <t>(7.2)
วงเงิน</t>
  </si>
  <si>
    <t>(7.4)
ปัญหา
(ระบุหมายเลข)</t>
  </si>
  <si>
    <t>(6) ปัญหากรณีงบดำเนินงานเบิกจ่ายล่าช้า
(ระบุหมายเลข)</t>
  </si>
  <si>
    <t xml:space="preserve">(7.5)
*โปรดระบุเหตุผลเพิ่มเติมตามปัญหาข้อ (7.4)* </t>
  </si>
  <si>
    <t>(8)  กรณีโครงการ/กิจกรรมอยู่ระหว่างดำเนินการ ระบุแผนการเบิกจ่าย (บาท)</t>
  </si>
  <si>
    <t>(3)
งบลงทุน
(บาท)</t>
  </si>
  <si>
    <t>โครงการ ..ก...</t>
  </si>
  <si>
    <t xml:space="preserve">  กิจกรรม ..ก1......</t>
  </si>
  <si>
    <t xml:space="preserve">  กิจกรรม ...ก2.....</t>
  </si>
  <si>
    <t xml:space="preserve">  กิจกรรม ...ก3...</t>
  </si>
  <si>
    <t xml:space="preserve">(9) 
เงินเหลือจ่ายกรณีโครงการเสร็จสิ้นแล้ว (บาท) </t>
  </si>
  <si>
    <t>โครงการ..ข..</t>
  </si>
  <si>
    <t xml:space="preserve">  กิจกรรม ..ข2..</t>
  </si>
  <si>
    <t xml:space="preserve">  กิจกรรม ...ข1..</t>
  </si>
  <si>
    <t>(7.3)
คาดว่าก่อหนี้
(ระบุเดือนเป็นตัวเลข)</t>
  </si>
  <si>
    <t>โครงการ.ค...</t>
  </si>
  <si>
    <t xml:space="preserve"> กิจกรรม ..ค1....</t>
  </si>
  <si>
    <t xml:space="preserve"> กิจกรรม ...ค2....</t>
  </si>
  <si>
    <t xml:space="preserve">  กิจกรรม..ค3.....</t>
  </si>
  <si>
    <t xml:space="preserve">  กิจกรรม .ค4....</t>
  </si>
  <si>
    <t>(2)
งบดำเนินงาน/
งบรายจ่ายอื่น (บาท)</t>
  </si>
  <si>
    <t>คำอธิบายเพิ่มเติม</t>
  </si>
  <si>
    <t>ข้อ (6) และ (7.4) ปัญหาการดำเนินกิจกรรม ให้ระบุสาเหตุเป็นหมายเลข ดังนี้</t>
  </si>
  <si>
    <t>รวม</t>
  </si>
  <si>
    <r>
      <t xml:space="preserve">(7) กรณีงบลงทุน (ลงงบฯ ข้อมูลเฉพาะรายการที่ยังไม่ก่อหนี้/หากก่อหนี้แล้วให้ระบุคำว่า </t>
    </r>
    <r>
      <rPr>
        <b/>
        <sz val="14"/>
        <color rgb="FFFF0000"/>
        <rFont val="TH SarabunPSK"/>
        <family val="2"/>
      </rPr>
      <t>"ก่อหนี้แล้ว"</t>
    </r>
    <r>
      <rPr>
        <b/>
        <sz val="14"/>
        <rFont val="TH SarabunPSK"/>
        <family val="2"/>
      </rPr>
      <t>ในข้อ (7.3))</t>
    </r>
  </si>
  <si>
    <t>แบบรายงานผลการดำเนินงานตามแผนปฏิบัติราชการประจำปีงบประมาณ พ.ศ. 2562</t>
  </si>
  <si>
    <t>ม.ค. 62</t>
  </si>
  <si>
    <t>ก.ย.62</t>
  </si>
  <si>
    <t>หลัง ก.ย.62</t>
  </si>
  <si>
    <t xml:space="preserve">มาตรา 58 แผนงานบูรณาการส่งเสริมการพัฒนาจังหวัดและกลุ่มจังหวัดแบบบูรณาการ </t>
  </si>
  <si>
    <t>(10)
หมายเหตุ</t>
  </si>
  <si>
    <t xml:space="preserve">รายงานผลภายในวันที่ 5 ของทุกเดือน เป็นไฟล์ Microsoft Excel ที่ E - Mail : reportpad62@gmail.com  // โทร 02 222 7821 มท. 50436  </t>
  </si>
  <si>
    <r>
      <rPr>
        <b/>
        <sz val="16"/>
        <color theme="1"/>
        <rFont val="TH SarabunPSK"/>
        <family val="2"/>
      </rPr>
      <t>หมายเลข 1</t>
    </r>
    <r>
      <rPr>
        <sz val="16"/>
        <color theme="1"/>
        <rFont val="TH SarabunPSK"/>
        <family val="2"/>
      </rPr>
      <t xml:space="preserve">  คือ สถานที่ไม่ได้รับอนุญาต      </t>
    </r>
  </si>
  <si>
    <r>
      <rPr>
        <b/>
        <sz val="16"/>
        <color theme="1"/>
        <rFont val="TH SarabunPSK"/>
        <family val="2"/>
      </rPr>
      <t xml:space="preserve">หมายเลข 2 </t>
    </r>
    <r>
      <rPr>
        <sz val="16"/>
        <color theme="1"/>
        <rFont val="TH SarabunPSK"/>
        <family val="2"/>
      </rPr>
      <t xml:space="preserve"> คือ เปลี่ยนสถานที่ดำเนินการ       </t>
    </r>
  </si>
  <si>
    <r>
      <rPr>
        <b/>
        <sz val="16"/>
        <color theme="1"/>
        <rFont val="TH SarabunPSK"/>
        <family val="2"/>
      </rPr>
      <t>หมายเลข 3</t>
    </r>
    <r>
      <rPr>
        <sz val="16"/>
        <color theme="1"/>
        <rFont val="TH SarabunPSK"/>
        <family val="2"/>
      </rPr>
      <t xml:space="preserve">  คือ  หน่วยงานตรวจสอบภายในทักท้วง            </t>
    </r>
  </si>
  <si>
    <r>
      <rPr>
        <b/>
        <sz val="16"/>
        <color theme="1"/>
        <rFont val="TH SarabunPSK"/>
        <family val="2"/>
      </rPr>
      <t>หมายเลข 4</t>
    </r>
    <r>
      <rPr>
        <sz val="16"/>
        <color theme="1"/>
        <rFont val="TH SarabunPSK"/>
        <family val="2"/>
      </rPr>
      <t xml:space="preserve"> คือ งบประมาณซ้ำซ้อน                 </t>
    </r>
  </si>
  <si>
    <r>
      <rPr>
        <b/>
        <sz val="16"/>
        <color theme="1"/>
        <rFont val="TH SarabunPSK"/>
        <family val="2"/>
      </rPr>
      <t>หมายเลข 5</t>
    </r>
    <r>
      <rPr>
        <sz val="16"/>
        <color theme="1"/>
        <rFont val="TH SarabunPSK"/>
        <family val="2"/>
      </rPr>
      <t xml:space="preserve"> คือ ไม่มีผู้รับจ้าง/อยู่ระหว่างจัดซื้อจัดจ้าง</t>
    </r>
  </si>
  <si>
    <r>
      <rPr>
        <b/>
        <sz val="16"/>
        <color theme="1"/>
        <rFont val="TH SarabunPSK"/>
        <family val="2"/>
      </rPr>
      <t>หมายเลข 6</t>
    </r>
    <r>
      <rPr>
        <sz val="16"/>
        <color theme="1"/>
        <rFont val="TH SarabunPSK"/>
        <family val="2"/>
      </rPr>
      <t xml:space="preserve"> คือ เปลี่ยนรูปแบบกิจกรรม/ประเภทงบประมาณ/สิ่งก่อสร้าง          </t>
    </r>
  </si>
  <si>
    <r>
      <rPr>
        <b/>
        <sz val="16"/>
        <color theme="1"/>
        <rFont val="TH SarabunPSK"/>
        <family val="2"/>
      </rPr>
      <t>หมายเลข 7</t>
    </r>
    <r>
      <rPr>
        <sz val="16"/>
        <color theme="1"/>
        <rFont val="TH SarabunPSK"/>
        <family val="2"/>
      </rPr>
      <t xml:space="preserve"> คือ ยกเลิกเพื่อทำโครงการอื่น           </t>
    </r>
  </si>
  <si>
    <r>
      <rPr>
        <b/>
        <sz val="16"/>
        <color theme="1"/>
        <rFont val="TH SarabunPSK"/>
        <family val="2"/>
      </rPr>
      <t xml:space="preserve">หมายเลข 8 </t>
    </r>
    <r>
      <rPr>
        <sz val="16"/>
        <color theme="1"/>
        <rFont val="TH SarabunPSK"/>
        <family val="2"/>
      </rPr>
      <t xml:space="preserve">คือ ยกเลิกโครงการ คืนงบประมาณ           </t>
    </r>
  </si>
  <si>
    <r>
      <rPr>
        <b/>
        <sz val="16"/>
        <color theme="1"/>
        <rFont val="TH SarabunPSK"/>
        <family val="2"/>
      </rPr>
      <t>หมายเลข 9</t>
    </r>
    <r>
      <rPr>
        <sz val="16"/>
        <color theme="1"/>
        <rFont val="TH SarabunPSK"/>
        <family val="2"/>
      </rPr>
      <t xml:space="preserve"> คือ ดำเนินการตามห้วงเวลา ฤดูกาล เทศกาล วันสำคัญ เป็นต้น   </t>
    </r>
  </si>
  <si>
    <r>
      <rPr>
        <b/>
        <sz val="16"/>
        <color theme="1"/>
        <rFont val="TH SarabunPSK"/>
        <family val="2"/>
      </rPr>
      <t xml:space="preserve">หมายเลข 10 </t>
    </r>
    <r>
      <rPr>
        <sz val="16"/>
        <color theme="1"/>
        <rFont val="TH SarabunPSK"/>
        <family val="2"/>
      </rPr>
      <t xml:space="preserve">คือ เหตุผลอื่นๆ ให้ระบุในช่องเหตุผลเพิ่มเติม   </t>
    </r>
  </si>
  <si>
    <r>
      <t>ข้อ (7.3) เดือนที่คาดว่าก่อหนี้ของงบลงทุน ให้ระบุเป็นตัวเลข เช่น เดือน ม.ค.. = 1, เดือน ก.พ. = 2, เดือน มี.ค. = 3 เป็นต้น //กรณี ก่อหนี้แล้ว ให้ระบุคำว่า "</t>
    </r>
    <r>
      <rPr>
        <b/>
        <sz val="16"/>
        <color rgb="FFFF0000"/>
        <rFont val="TH SarabunPSK"/>
        <family val="2"/>
      </rPr>
      <t>ก่อหนี้แล้ว</t>
    </r>
    <r>
      <rPr>
        <b/>
        <sz val="16"/>
        <color theme="1"/>
        <rFont val="TH SarabunPSK"/>
        <family val="2"/>
      </rPr>
      <t>"</t>
    </r>
  </si>
  <si>
    <r>
      <t xml:space="preserve">ข้อ (7.5) ให้ระบุเหตุผลเพิ่มเติมเพื่ออธิบายข้อ (7.4) </t>
    </r>
    <r>
      <rPr>
        <b/>
        <sz val="16"/>
        <color rgb="FFFF0000"/>
        <rFont val="TH SarabunPSK"/>
        <family val="2"/>
      </rPr>
      <t>และกรณีที่โครงการ/กิจกรรมที่ "ก่อหนี้แล้ว" ไม่สามารถเบิกจ่ายได้ตามแผนหรือเบิกจ่ายล่าช้าให้ระบุเหตุผลการเบิกจ่ายล่าช้าด้วย</t>
    </r>
  </si>
  <si>
    <t>โครงการพัฒนาระบบสาธารณูปโภคเพื่อรองรับการขยายตัวของชุมชน</t>
  </si>
  <si>
    <t>โครงการบริหารจัดการสาธารณภัยจังหวัดชลบุรีแบบบูรณาการ</t>
  </si>
  <si>
    <t xml:space="preserve"> พัฒนาศักยภาพด้านการป้องกันและลดอุบัติภัยทางน้ำ</t>
  </si>
  <si>
    <t xml:space="preserve"> ก่อสร้างระบบประปาหมู่บ้านแบบผิวดินขนาดใหญ่บ้านหนองหญ้าปล้อง หมู่ที่ 3 ตำบลหนองเสือช้าง อำเภอหนองใหญ่ จังหวัดชลบุรี</t>
  </si>
  <si>
    <t xml:space="preserve"> ก่อสร้างทุ่นผูกเรือทุ่นผูกเรือ 2 จุด อำเภอเกาะสีชัง จังหวัดชลบุรี</t>
  </si>
  <si>
    <t xml:space="preserve"> ก่อสร้างระบบผลิตน้ำประปาหมู่บ้านแบบผิวดินขนาดใหญ่ หมู่ที่ 7  ตำบลวัดหลวง อำเภอพนัสนิคม  จังหวัดชลบุรี</t>
  </si>
  <si>
    <t xml:space="preserve"> ก่อสร้างพัฒนาแหล่งกักเก็บน้ำดิบเขตพื้นที่เทศบาลตำบลหัวกุญแจ หมู่ที่ 1 ตำบลคลองกิ่ว อำเภอบ้านบึง จังหวัดชลบุรี</t>
  </si>
  <si>
    <t xml:space="preserve"> ขยายท่อเมนประปา บริเวณถนนเอกชัย 1 , เอกชัย 2 เทศบาลตำบลเกาะสีชัง</t>
  </si>
  <si>
    <t xml:space="preserve"> ค่าใช้จ่ายในการบริหารงานจังหวัดแบบบูรณาการ</t>
  </si>
  <si>
    <t xml:space="preserve"> จัดทำปะการังเทียมคอนกรีตเสริมเหล็กเพื่อฟื้นฟูระบบนิเวศน์ทางทะเลของเกาะสีชัง  บริเวณแหลมงู และบริเวณแหลมตุ๊กตา (จุดทิ้งตำแหน่งเดิม) </t>
  </si>
  <si>
    <t xml:space="preserve"> ปักไม้ไผ่ชะลอคลื่นเพื่อแก้ไขปัญหาการกัดเซาะชายฝั่งจังหวัดชลบุรี</t>
  </si>
  <si>
    <t xml:space="preserve"> ฟื้นฟูระบบนิเวศน์แนวปะการังธรรมชาติ เสริมสร้างความอุดม สมบูรณ์ให้กับระบบนิเวศทางทะเลและชายฝั่ง</t>
  </si>
  <si>
    <t xml:space="preserve"> บ้านปลาปะการังเทียม</t>
  </si>
  <si>
    <t xml:space="preserve"> ปรับปรุงห้วยสุครีพ ตำบลบางพระ อำเภอศรีราชา จังหวัดชลบุรี</t>
  </si>
  <si>
    <t xml:space="preserve"> พัฒนาแหล่งน้ำเพื่อการเกษตรและบรรเทาสาธารณภัยขุดสระน้ำชุมชนมาบยาง หมู่ที่ 6 ตำบลหนองใหญ่ อำเภอหนองใหญ่ จังหวัดชลบุรี</t>
  </si>
  <si>
    <t xml:space="preserve"> พัฒนาแหล่งน้ำตื้นเขินอำเภอศรีราชา จังหวัดชลบุรี</t>
  </si>
  <si>
    <t xml:space="preserve"> ก่อสร้างอาคารคัดแยกขยะมูลฝอย บริเวณหมวดศิลา (การรถไฟ) หมู่ที่ 6 บ้านท่าภาณุรังษี ตำบลท่าเทววงษ์ อำเภอเกาะสีชัง จังหวัดชลบุรี</t>
  </si>
  <si>
    <t xml:space="preserve"> ก่อสร้างถนนสายแยก ทางหลวงหมายเลข 331 – บ้านมะขามคู่ อำเภอบางละมุง จังหวัดชลบุรี</t>
  </si>
  <si>
    <t>ก่อสร้างถนนสายแยกอ่างเก็บน้ำมาบประชัน-ถนนพรประภานิมิต 23 อำเภอบางละมุง จังหวัดชลบุรี</t>
  </si>
  <si>
    <t>ก่อสร้างถนนสาย บ.แปลง-บ.กระบกคู่ อำเภอเกาะจันทร์ จังหวัดชลบุรี</t>
  </si>
  <si>
    <t>ก่อสร้างถนนสายแยก ทช.ชบ.4094-บ.โป่งสะเก็ด อำเภอบางละมุง จังหวัดชลบุรี</t>
  </si>
  <si>
    <t xml:space="preserve"> ก่อสร้างถนนคอนกรีตเสริมเหล็กพร้อมวางท่อระบายน้ำ ซอยองค์การบริหารส่วนตำบล ถึง เขาพงพานถึงจุดสิ้นสุดถนนแอสฟัลท์ติกคอนกรีต หมู่ที่ 1,3 ตำบลหนองข้างคอก อำเภอเมืองชลบุรี จังหวัดชลบุรี</t>
  </si>
  <si>
    <t xml:space="preserve"> ก่อสร้างถนนคอนกรีตเสริมเหล็ก พร้อมวางท่อระบายน้ำสายวัดเขาบ่อยาง หมู่ที่ 1 ตำบลเหมือง  อำเภอเมืองชลบุรี จังหวัดชลบุรี</t>
  </si>
  <si>
    <t xml:space="preserve"> ก่อสร้างถนนคอนกรีตเสริมเหล็ก พร้อมวางท่อระบายน้ำ สายมากทรัพย์ หมู่ที่ 4  ตำบลสำนักบก เชื่อมหมู่ที่ 6 ตำบลนาป่า อำเภอเมืองชลบุรี จังหวัดชลบุรี</t>
  </si>
  <si>
    <t xml:space="preserve"> ก่อสร้างถนนคอนกรีตเสริมเหล็กพร้อมระบบระบายน้ำ สายบ้านเนินทรายถึงแยกสนามบิน หมู่ที่ 9 ตำบลห้วยใหญ่ อำเภอบางละมุง จังหวัดชลบุรี</t>
  </si>
  <si>
    <t xml:space="preserve"> ก่อสร้างถนนคอนกรีตเสริมเหล็ก พร้อมวางท่อระบายน้ำสายตะเคียนเตี้ย ซอย 19 (ข้าง บ.เคไลน์) หมู่ที่ 2 ตำบลตะเคียนเตี้ย อำเภอบางละมุง จังหวัดชลบุรี</t>
  </si>
  <si>
    <t xml:space="preserve"> ก่อสร้างแอสฟัลท์ติกคอนกรีตสายบ้านนายไปล่ ถึง ถนนตะเคียนเตี้ย (ตอนที่ 2) หมู่ที่ 4 ตำบลหนองปลาไหล อำเภอบางลุะมุง จังหวัดชลบุรี</t>
  </si>
  <si>
    <t xml:space="preserve"> ก่อสร้างท่ออุโมงค์ระบายน้ำคอนกรีตเสริมเหล็ก ช่วงซอยหนองหิน 2 เชื่อมทางรถไฟ (ระยะที่ 2 จากอู่ต่อเรือถึงบ้านเรือนไม้ ตำบลหนองปรือ อำเภอบางละมุง จังหวัดชลบุรี</t>
  </si>
  <si>
    <t xml:space="preserve"> ก่อสร้างถนนคอนกรีตเสริมเหล็กสายหนองสำราญถึงห้วยเตย (ช่วงที่ 2) หมู่ที่ 4 ตำบลหนองชาก อำเภอบ้านบึง จังหวัดชลบุรี</t>
  </si>
  <si>
    <t xml:space="preserve"> ก่อสร้างถนนคอนกรีตเสริมเหล็กสายบ่อเป้าถึงเขาห้วยยอ หมู่ที่ 5  ตำบลหนองซ้ำซาก (แยกขวา) อำเภอบ้านบึง จังหวัดชลบุรี</t>
  </si>
  <si>
    <t xml:space="preserve"> ก่อสร้างถนนคอนกรีตเสริมเหล็กสายวัดพระธรรมจักร หมู่ที่ 1 ตำบลคลองกิ่ว อำเภอบ้านบึง จังหวัดชลบุรี</t>
  </si>
  <si>
    <t xml:space="preserve"> ก่อสร้างถนนคอนกรีตเสริมเหล็กสายบ้านหนองปรือถึงสมาคมบึงทอง หมู่ที่ 1 ตำบลหนองไผ่แก้ว อำเภอบ้านบึง จังหวัดชลบุรี</t>
  </si>
  <si>
    <t xml:space="preserve"> ก่อสร้างถนนคอนกรีตเสริมเหล็กสายหนองโกศลถึงบ้านอ้อมแก้ว หมู่ที่ 3 ตำบลหนองไผ่แก้ว อำเภอบ้านบึง จังหวัดชลบุรี</t>
  </si>
  <si>
    <t xml:space="preserve"> ก่อสร้างถนนคอนกรีตเสริมเหล็ก สายเกาะลอย ถึงบางนาง หมู่ที่ 1  ตำบลเกาะลอย อำเภอพานทอง จังหวัดชลบุรี</t>
  </si>
  <si>
    <t xml:space="preserve"> ก่อสร้างถนนคอนกรีตเสริมเหล็ก สายบ้านคลองบางข้าว (ตอนที่ 2) หมู่ที่ 1 ตำบลบางหัก อำเภอพานทอง จังหวัดชลบุรี</t>
  </si>
  <si>
    <t xml:space="preserve"> ก่อสร้างถนนคอนกรีตเสริมเหล็กบริเวณถนนตัดใหม่หนองตารางถึงเนินเขมร หมู่ที่ 1 ตำบลมาบโป่ง อำเภอพานทอง จังหวัดชลบุรี</t>
  </si>
  <si>
    <t xml:space="preserve"> ก่อสร้างถนนคอนกรีตเสริมเหล็กสายธรรมรัตน์ถึง บ้านเขามะกรูด หมู่ที่ 1 ตำบลเกษตรสุวรรณ อำเภอบ่อทอง จังหวัดชลบุรี</t>
  </si>
  <si>
    <t xml:space="preserve"> ก่อสร้างถนนคอนกรีตเสริมเหล็ก สายธรรมรัตน์ ถึง ทุ่งปืนแตก หมู่ที่ 1 ตำบลเกษตรสุวรรณ อำเภอบ่อทอง จังหวัดชลบุรี</t>
  </si>
  <si>
    <t xml:space="preserve"> ก่อสร้างถนนคอนกรีตเสริมเหล็กซอยเทศบาลซอย 9 (ซอยข้างอู่ช่างหนึ่ง) หมู่ที่ 1  ตำบลบ่อทอง อำเภอบ่อทอง จังหวัดชลบุรี</t>
  </si>
  <si>
    <t xml:space="preserve"> ก่อสร้างถนนคอนกรีตเสริมเหล็ก สายเฉลิมพระเกียรติถึงเขาตะแบก ซอย 2 หมู่ที่ 1 ตำบลหนองเสือช้าง อำเภอหนองใหญ่ จังหวัดชลบุรี</t>
  </si>
  <si>
    <t xml:space="preserve"> ก่อสร้างถนนคอนกรีตเสริมเหล็กสายหมู่บ้านใหม่ ชุมชนหนองตะเคียนทอง (หมู่ที่ 5) ตำบลหนองใหญ่ อำเภอหนองใหญ่ จังหวัดชลบุรี</t>
  </si>
  <si>
    <t xml:space="preserve"> ก่อสร้างถนนคอนกรีตเสริมเหล็กสายบ้านกฤษฎา ทองคำบรรจง หมู่ที่ 1 ตำบลท่าบุญมี อำเภอเกาะจันทร์ จังหวัดชลบุรี</t>
  </si>
  <si>
    <t xml:space="preserve"> ก่อสร้างถนนคอนกรีตเสริมเหล็ก(บริเวณถนนสายคอกม้าถึงศาลาประชาคม) หมู่ที่ 8 เทศบาลเมืองปรกฟ้า ตำบลเกาะจันทร์ อำเภอเกาะจันทร์ จังหวัดชลบุรี</t>
  </si>
  <si>
    <t xml:space="preserve"> ก่อสร้างถนนคอนกรีตเสริมเหล็กเทศบาล ซอย 7 หมู่ที่ 14  เทศบาลเกาะจันทร์  อำเภอเกาะจันทร์ จังหวัดชลบุรี</t>
  </si>
  <si>
    <t xml:space="preserve"> ก่อสร้างถนนคอนกรีตเสริมเหล็ก บริเวณถนนสายปรกฟ้า ซอย 4 ชุมชนย่อยที่ 7 หมู่ที่ 7 ตำบลเกาะจันทร์ อำเภอเกาะจันทร์ จังหวัดชลบุรี</t>
  </si>
  <si>
    <t xml:space="preserve"> ก่อสร้างถนนคอนกรีตเสริมเหล็กสายบ้านหนองขยาด หมู่ 7 (บริเวณหน้าบ้าน อบต.วัชระ – หน้าบ้านทิดดำ) ตำบลหนองขยาด อำเภอพนัสนิคม จังหวัดชลบุรี</t>
  </si>
  <si>
    <t xml:space="preserve"> ก่อสร้างถนนคอนกรีตเสริมเหล็ก หมู่ที่ 11  บ้านคลองแบ่ง ถนนสายเข้าหมู่บ้านหน้า สำนักงานที่ดิน ตำบลไร่หลักทอง อำเภอพนัสนิคม จังหวัดชลบุรี</t>
  </si>
  <si>
    <t xml:space="preserve"> ก่อสร้างถนนคอนกรีตเสริมเหล็กสายแยกจากถนนนาคถึงศาลเจ้าแปะกง (เชื่อมต่อตำบลหนองอิรุณ อำเภอบ้านบึง) หมู่ที่ 4 ตำบลหมอนนาง อำเภอพนัสนิคม  จังหวัดชลบุรี</t>
  </si>
  <si>
    <t xml:space="preserve"> วางท่อระบายน้ำคอนกรีตเสริมเหล็ก บริเวณข้างอาคารเอนกประสงค์  หมู่ที่ 4,1 เชื่อมคลองเซิด  ตำบลบ้านเซิด  อำเภอพนัสนิคม  จังหวัดชลบุรี</t>
  </si>
  <si>
    <t xml:space="preserve"> ก่อสร้างถนนคอนกรีตเสริมเหล็กสายบ้านนายสุบิน หมู่ 5 ถึง โรงงาน 4 ส. หมู่ที่ 4 ตำบลนาวังหิน อำเภอพนัสนิคม จังหวัดชลบุรี</t>
  </si>
  <si>
    <t xml:space="preserve"> ก่อสร้างถนนแอสฟัลท์ติกคอนกรีตสาย331 ถึง ม่วงหวาน หมู่ที่ 15  ตำบลหนองเหียง อำเภอพนัสนิคม  จังหวัดชลบุรี</t>
  </si>
  <si>
    <t xml:space="preserve"> ก่อสร้างผิวจราจรคอนกรีตเสริมเหล็ก พร้อมวางท่อระบายน้ำ ถนนบุญเลิศ หมู่ที่ 7 ตำบลนาจอมเทียน อำเภอสัตหีบ จังหวัดชลบุรี</t>
  </si>
  <si>
    <t xml:space="preserve"> ก่อสร้างถนนผิวจราจรคอนกรีตเสริมเหล็ก พร้อมวางท่อระบายน้ำ สาย ชบ 1003 ถึง เขาตะแบก ตอนที่ 2 หมู่ที่ 7 ตำบลนาจอมเทียน อำเภอสัตหีบ จังหวัดชลบุรี</t>
  </si>
  <si>
    <t xml:space="preserve"> ปรับปรุงถนนแอสฟัลท์ติกคอนกรีตเป็นถนนคอนกรีตเสริมเหล็กสายหนองใหญ่ – ห้างสูง  ชุมชนมาบยาง (หมู่ที่ 6) ตำบลหนองใหญ่ อำเภอหนองใหญ่ จังหวัดชลบุรี</t>
  </si>
  <si>
    <t xml:space="preserve"> ก่อสร้างถนนคอนกรีตเสริมเหล็ก หมู่ที่ 2 ถึง 7 ตำบลทุ่งขวาง อำเภอพนัสนิคม จังหวัดชลบุรี</t>
  </si>
  <si>
    <t xml:space="preserve"> ก่อสร้างถนนคอนกรีตเสริมเหล็ก สายเกาะสะเดา หมู่ที่ 1 ตำบลนามะตูม อำเภอพนัสนิคม จังหวัดชลบุรี</t>
  </si>
  <si>
    <t xml:space="preserve"> ก่อสร้างถนนคอนกรีตเสริมเหล็ก จากรอยต่อคอนกรีตเดิมบริเวณบ้านนางอุไรวรรณ  แซ่ตั้นถึงบ่อปลานายสายหยุด  เจริญดี  หมู่ที่  2  ตำบลท่าข้าม อำเภอพนัสนิคม  จังหวัดชลบุรี</t>
  </si>
  <si>
    <t xml:space="preserve"> ก่อสร้างถนนคอนกรีตเสริมเหล็กสายไร่กลาง-โคกช้าง (ช่วงที่ 1) หมู่ที่ 4 ตำบลมาบไผ่ อำเภอบ้านบึง จังหวัดชลบุรี</t>
  </si>
  <si>
    <t xml:space="preserve"> ปรับปรุงถนนคอนกรีตเสริมเหล็กสายเจียมเจริญ หมู่ที่ 8 ตำบลบางพระ อำเภอศรีราชา จังหวัดชลบุรี</t>
  </si>
  <si>
    <t xml:space="preserve"> ก่อสร้างถนนคอนกรีตเสริมเหล็กพร้อมระบบระบายน้ำ สายวิเศษนิยม-บ้านยางใหญ่ หมู่ที่ 12 ตำบลห้วยใหญ่ อำเภอบางละมุง จังหวัดชลบุรี</t>
  </si>
  <si>
    <t xml:space="preserve"> ก่อสร้างถนนคอนกรีตเสริมเหล็กถนนสายมาบไข่เน่า หมู่ที่ 5 ตำบลหนองเสือช้าง อำเภอหนองใหญ่ จังหวัดชลบุรี</t>
  </si>
  <si>
    <t xml:space="preserve"> ปรับปรุงถนนแอสฟัลท์ติกคอนกรีต สายเซิดน้อย (ช่วงไฟแดงเซิดน้อย ถึงเซิดน้อย ซอย 12) หมู่ที่ 2 ตำบลบ้านบึง อำเภอบ้านบึง จังหวัดชลบุรีดชลบุรี</t>
  </si>
  <si>
    <t xml:space="preserve"> ก่อสร้างถนนแอสฟัลท์ติกคอนกรีต ถนนสายปรกฟ้าถึงแยกหนองหอย -3245 ตำบลเกาะจันทร์ อำเภอเกาะจันทร์ จังหวัดชลบุรี</t>
  </si>
  <si>
    <t xml:space="preserve"> ก่อสร้างถนนคอนกรีตเสริมเหล็ก สายบ้านเนินตั้ว (บ้านนายประชุม เหลืองอ่อนถึงสะพานข้ามคลอง) </t>
  </si>
  <si>
    <t xml:space="preserve"> ก่อสร้างถนนคอนกรีตเสริมเหล็กถนนสายคลองสามง่ามถีงบ้านหัวสนาม(บริเวณบ้านนายน้อมถึงนางประจวบจิต)</t>
  </si>
  <si>
    <t xml:space="preserve"> ก่อสร้างถนนคอนกรีตเสริมเหล็ก ถนนสายวัดอุทกเขปสีมารามถึงสะพานข้ามคลอง หมู่ที่9 ตำบลวัดโบสถ์ อำเภอพนัสนิคม จังหวัดชลบุรี</t>
  </si>
  <si>
    <t xml:space="preserve"> ก่อสร้างถนนคอนกรีตเสริมเหล็ก หมู่ที่ 8 ถึง 7  ตำบลทุ่งขวาง อำเภอพนัสนิคม จังหวัดชลบุรี</t>
  </si>
  <si>
    <t xml:space="preserve"> ก่อสร้างปรับปรุงผิวจราจรคอนกรีตเสริมเหล็กพร้อมวางท่อระบายน้ำคอนกรีตเสริมเหล็กสายมากุลวงษ์ หมู่ 5 (ตั้งแต่จุดเชื่อมต่อท่อระบายน้ำเทศบาลเมืองพนัสนิคมจรดลำรางสาธารณะ)</t>
  </si>
  <si>
    <t xml:space="preserve"> ก่อสร้างถนนคอนกรีตเสริมเหล็ก พร้อมวางท่อระบายน้ำบริเวณหน้าโรงงานไอศกรีม (ช่วงที่2) หมู่ที่ 1 ตำบลหนองข้างคอก อำเภอเมืองชลบุรี จังหวัดชลบุรี</t>
  </si>
  <si>
    <t xml:space="preserve"> ฝึกอบรมเชิงปฏิบัติการแปรรูปและพัฒนาผลิตภัณฑ์ปลานิล</t>
  </si>
  <si>
    <t xml:space="preserve"> พัฒนาศักยภาพบุคลากรและเกษตรกรผู้นำกลุ่ม</t>
  </si>
  <si>
    <t xml:space="preserve"> ส่งเสริมการทำกิจกรรมการเกษตรตามหลักปรัชญาเศรษฐกิจพอเพียง</t>
  </si>
  <si>
    <t xml:space="preserve"> ถ่ายทอดเทคโนโลยีการผลิตพืชมีคุณภาพและได้มาตรฐาน</t>
  </si>
  <si>
    <t xml:space="preserve"> ส่งเสริมการจัดการด้านการตลาดและการประชาสัมพันธ์</t>
  </si>
  <si>
    <t xml:space="preserve"> ส่งเสริมการรวมกลุ่มแบบแปลงใหญ่เพื่อพัฒนาศักยภาพการผลิต</t>
  </si>
  <si>
    <t>โครงการเพิ่มประสิทธิภาพการบริหารโครงการจังหวัดชลบุรี ภายใต้แผนปฏิบัติราชการกลุ่มจังหวัดภาคตะวันออก ประจำปีงบประมาณ พ.ศ.2562</t>
  </si>
  <si>
    <t>อนุรักษ์และฟื้นฟูระบบนิเวศทรัพยากรทางทะเลและชายฝั่ง</t>
  </si>
  <si>
    <t>โครงการส่งเสริมกิจกรรมการท่องเที่ยว สินค้าและบริการด้านการท่องเที่ยวให้มีความหลากหลาย</t>
  </si>
  <si>
    <t xml:space="preserve"> กิจกรรมแข่งขันวิ่งมินิมาราธอนเพื่อส่งเสริมการท่องเที่ยว (Pattaya Night Run)</t>
  </si>
  <si>
    <t xml:space="preserve"> กิจกรรมจัดมหกรรมมหัศจรรย์อาหารทะเล</t>
  </si>
  <si>
    <t xml:space="preserve"> กิจกรรมจัดกิจกรรมปั่นปันรักที่สวนป่าสิริเจริญวรรษอันเนื่องมาจากพระราชดำริ</t>
  </si>
  <si>
    <t>กิจกรรมจัดทำสื่อประชาสัมพันธ์การท่องเที่ยวจังหวัดชลบุรี</t>
  </si>
  <si>
    <t xml:space="preserve"> กิจกรรมจัดเทศกาลแห่โคมชมพระฉาย สืบสานศิลป์ ถิ่นหนองจับเต่า เขาชีจรรย์</t>
  </si>
  <si>
    <t xml:space="preserve"> กิจกรรมจัดงานอาหารและเครื่องดื่มนานาชาติเมืองพัทยา</t>
  </si>
  <si>
    <t>โครงการฟื้นฟูแหล่งน้ำจังหวัดชลบุรี</t>
  </si>
  <si>
    <t>โครงการบริหารจัดการคุณภาพสิ่งแวดล้อมแบบบูรณาการ</t>
  </si>
  <si>
    <t>โครงการพัฒนาเส้นทางคมนาคมสายรองเชื่อมโยงเส้นทางคมนาคมสายหลักจังหวัดชลบุรี</t>
  </si>
  <si>
    <t>โครงการพัฒนาเส้นทางคมนาคมสายย่อยเชื่อมโยงเส้นทางคมนาคมสายหลักจังหวัดชลบุรี</t>
  </si>
  <si>
    <t>ค่าใช้จ่ายในการบริหารงานจังหวัดแบบบูรณาการ</t>
  </si>
  <si>
    <t>โครงการส่งเสริมสินค้าเกษตรปลอดภัยตลอดโซ่อุปทานจังหวัดชลบุรี</t>
  </si>
  <si>
    <t xml:space="preserve">ก่อสร้างถนนคอนกรีตเสริมเหล็กพร้อมบ่อระบายน้ำและบ่อพัก คสล.พร้อมรางระบายน้ำ (รางวี) คอนกรีตเสริมเหล็ก ถนนเทศบาลซอย 4 เชื่อมซอย 6 ตำบลท่าบุญมี อำเภอเกาะจันทร์ จังหวัดชลบุรี </t>
  </si>
  <si>
    <t>ก่อสร้างถนนคอนกรีตเสริมเหล็กทางเข้าที่ดินสาธารณประโยชน์ (ที่ 9 ไร่) ตำบลท่าบุญมี อำเภอเกาะจันทร์ จังหวัดชลบุรี</t>
  </si>
  <si>
    <t>ก.พ.62</t>
  </si>
  <si>
    <t>มี.ค. 62</t>
  </si>
  <si>
    <t>เม.ย.62</t>
  </si>
  <si>
    <t>พ.ค.62</t>
  </si>
  <si>
    <t>ก.ค.62</t>
  </si>
  <si>
    <t>ส.ค.62</t>
  </si>
  <si>
    <t>มิ.ย.62</t>
  </si>
  <si>
    <t>รอลงนาม</t>
  </si>
  <si>
    <t>ประกาศเชิญชวน</t>
  </si>
  <si>
    <t>ราคากลาง</t>
  </si>
  <si>
    <t>อยู่ระหว่างดำเนินงาน</t>
  </si>
  <si>
    <t>ทำสัญญาแล้ว</t>
  </si>
  <si>
    <t>ทำสัญญาแล้ว รอ Po</t>
  </si>
  <si>
    <t>ทำสัญญาแล้ว รอทำ PO</t>
  </si>
  <si>
    <t>ทำ PO แล้ว</t>
  </si>
  <si>
    <t>ทำสัญญารอทำ Po</t>
  </si>
  <si>
    <t>อยู่รหว่างดำเนินการ</t>
  </si>
  <si>
    <t>รายงานขอซื้อขอจ้าง</t>
  </si>
  <si>
    <t>จัดทำราคากลาง</t>
  </si>
  <si>
    <t>ประการร่างฯ</t>
  </si>
  <si>
    <t>ประกาศร่างพิจาร</t>
  </si>
  <si>
    <t>อยู่ระหว่างดำเนินการ</t>
  </si>
  <si>
    <t>พิจารณาผล</t>
  </si>
  <si>
    <t>จังหวัดชลบุรี (ข้อมูล ณ วันที่ .7 ธันวาคม 2562)</t>
  </si>
  <si>
    <t>ประกาศร่าง</t>
  </si>
  <si>
    <t>ประกาศจัดซื้อจัดจ้างใหม่เนื่องจากไม่มีผู้ยื่น</t>
  </si>
  <si>
    <t>ยกเลิกประกาศใหม่</t>
  </si>
  <si>
    <t>จังหวัดชลบุรี (ข้อมูล ณ วันที่ 4 กุมภาพันธ์ 2562)</t>
  </si>
  <si>
    <t>ขออนุญาติใช้พื้นที่อยู่</t>
  </si>
  <si>
    <t>ประกาศใหม่เนื่องจากไม่มีผู้รับจ้างมายื่น</t>
  </si>
  <si>
    <t>ประกาศ</t>
  </si>
  <si>
    <t>ที่สัญญาแล้วรอทำ PO</t>
  </si>
  <si>
    <t>หมายเหตุ 1. คาดว่าจาก 36 กิจกรรม เดือนกุมภาพันธ์สามารถก่อหนี้ 30 กิจกรรม และหลักเดือนกุมภาพันธ์ 6 กิจกรรม</t>
  </si>
  <si>
    <t xml:space="preserve">             2. ปัญหาอุปสรรค การจัดหาวิศวกรสามัญรับรองแบบ ตาม พรบ.จัดซื้ดจ้าง 2560 และหัวหน้าส่วนราชการ บุคคลากรด้านพัสดุของหน่วยงานรับผิดชอบโครงการมีการโยกย้าย </t>
  </si>
  <si>
    <t>จังหวัด/กลุ่มจังหวัด.................................................................  (ข้อมูล ณ วันที่ ....................)</t>
  </si>
  <si>
    <t>(1) งบประมาณที่ได้รับจัดสรรตาม พ.ร.บ. (บาท)</t>
  </si>
  <si>
    <t xml:space="preserve">(1.1)
โครงการ/กิจกรรม 
</t>
  </si>
  <si>
    <t xml:space="preserve">(1.2)
งบดำเนินงาน/
งบรายจ่ายอื่น </t>
  </si>
  <si>
    <t xml:space="preserve">(1.3)
งบลงทุน
</t>
  </si>
  <si>
    <t xml:space="preserve">(1.4) = (1.2)+(1.3)
รวม
</t>
  </si>
  <si>
    <t>(2) แผนการดำเนินงาน/แผนการจัดซื้อจัดจ้าง</t>
  </si>
  <si>
    <t>(3.1) 
งบดำเนินงาน/รายจ่ายอื่น
(ระบุตัวเลข)</t>
  </si>
  <si>
    <t xml:space="preserve">โครงการเดิมตาม พ.ร.บ. </t>
  </si>
  <si>
    <t>ไม่มี</t>
  </si>
  <si>
    <t>1. โครงการ 1 ….</t>
  </si>
  <si>
    <t>2. โครงการ 2….</t>
  </si>
  <si>
    <t>3. โครงการ 3…</t>
  </si>
  <si>
    <t>1. โครงการ 4 ….</t>
  </si>
  <si>
    <t>1. โครงการ 3 ….</t>
  </si>
  <si>
    <t>2. โครงการ 4 ….</t>
  </si>
  <si>
    <t>หน่วยดำเนินการ</t>
  </si>
  <si>
    <t>แขวงทางหลวง.....</t>
  </si>
  <si>
    <t>สนง.เกษตรจังหวัด.....</t>
  </si>
  <si>
    <t>สนง.สาธารณสุขจังหวัด..</t>
  </si>
  <si>
    <t>สนง.พัฒนาชุมชนจังหวัด.....</t>
  </si>
  <si>
    <t>สำนักงานโยธาธิการและผังเมืองจังหวัด....</t>
  </si>
  <si>
    <t xml:space="preserve"> - อยู่ระหว่างอุทธรณ์ผลการจัดซื้อจัดจ้าง</t>
  </si>
  <si>
    <t>พ.ร.บ.</t>
  </si>
  <si>
    <t>กิจกรรม</t>
  </si>
  <si>
    <t>งบประมาณ</t>
  </si>
  <si>
    <t>ยกเลิกกิจกรรม</t>
  </si>
  <si>
    <t>เปลี่ยนแปลงกิจกรรม/งบประมาณ</t>
  </si>
  <si>
    <t>งบลงทุน</t>
  </si>
  <si>
    <t>งบรายจ่ายประจำ</t>
  </si>
  <si>
    <t>สรุปข้อมูลกิจกรรมและงบประมาณ</t>
  </si>
  <si>
    <t xml:space="preserve"> - ยกเลิกโครงการเนื่องจากงบประมาณซ้ำซ้อนกับ อบจ.</t>
  </si>
  <si>
    <t>ภาพรวม</t>
  </si>
  <si>
    <t>โครงการ .....</t>
  </si>
  <si>
    <t>โครงการ....</t>
  </si>
  <si>
    <t>สนง.การท่องเที่ยวและกีฬาจังหวัด...</t>
  </si>
  <si>
    <t>แขวงทางหลวง...</t>
  </si>
  <si>
    <t>สำนักงานจังหวัด...</t>
  </si>
  <si>
    <t>สำนักงานเกษตรและสหกรณ์จังหวัด....</t>
  </si>
  <si>
    <t>เริ่มต้น</t>
  </si>
  <si>
    <t>สิ้นสุด</t>
  </si>
  <si>
    <t>ก่อหนี้เสร็จ</t>
  </si>
  <si>
    <t>(3) ผลการดำเนิงาน (สถานะ/ปัญหาอุปสรรค)</t>
  </si>
  <si>
    <t>(3.3)
เหตุผล/ปัญหา 
(ระบุตัวเลขหรือคำว่าไม่มี)</t>
  </si>
  <si>
    <t>(2.1) งบดำเนินงาน/รายจ่ายอื่น
(ระบุตัวเลขเดือน)
(ตามแผน/คาดการณ์)</t>
  </si>
  <si>
    <t>(2.2) งบลงทุน
(ระบุตัวเลขเดือน)
(ตามแผน/คาดการณ์)</t>
  </si>
  <si>
    <t>(3.2) 
งบลงทุน
(ระบุตัวเลข)</t>
  </si>
  <si>
    <t xml:space="preserve">(1.2)
รายจ่ายประจำ (งบดำเนินงาน/
รายจ่ายอื่น) </t>
  </si>
  <si>
    <t>หมายเหตุ: สามารถศึกษาการบันทึกข้อมูลลงในแบบรายงานได้จากเอกสารคำอธิบาย</t>
  </si>
  <si>
    <t>(3) ผลการดำเนินงาน (สถานะ/ปัญหาอุปสรรค)</t>
  </si>
  <si>
    <t xml:space="preserve"> - ดำเนินการในช่วงวันเข้าพรรษา</t>
  </si>
  <si>
    <t>(4) ผลการก่อหนี้ผูกพัน/ผลเบิกจ่าย/กันเงินเหลื่อมปี (บาท)</t>
  </si>
  <si>
    <t xml:space="preserve">(4.1)
วงเงินก่อหนี้ผูกพัน
</t>
  </si>
  <si>
    <t xml:space="preserve"> - มีการปรับลดกิจกรรมและงบประมาณ 500,000 บาท ตามมติ ก.บ.จ. ครั้งที่ 3/2566 เมื่อวันที่ 1 เม.ย. 67 คงเหลือ 2,000,000 บาท</t>
  </si>
  <si>
    <t xml:space="preserve"> - เงินเหลือจ่าย 20,000 บาท
 - วันที่เริ่มสัญญา 28 มิ.ย. 67 - 14 พ.ย. 67
 - ผลการดำเนินงานร้อยละ 10</t>
  </si>
  <si>
    <t>(3.3)
เหตุผล/ปัญหา 
(ระบุตัวเลขหรือ
คำว่าไม่มี)</t>
  </si>
  <si>
    <t xml:space="preserve"> - มติ ก.บ.จ. ครั้งที่ 1/2567 เมื่อวันที่ 31 มี.ค. 67
 - วันที่เริ่มสัญญา 15 มิ.ย. 67 - 15 ธ.ค. 67</t>
  </si>
  <si>
    <t xml:space="preserve"> - มติ ก.บ.จ. ครั้งที่ 1/2567 เมื่อวันที่ 5 มี.ค. 67</t>
  </si>
  <si>
    <t xml:space="preserve"> - มติ ก.บ.จ. ครั้งที่ 1/2567 เมื่อวันที่ 5 มี.ค. 67
 - วันที่เริ่มสัญญา 1 มิ.ย. 67 - 31 ส.ค. 67</t>
  </si>
  <si>
    <t>แบบรายงานผลการดำเนินงานตามแผนปฏิบัติราชการประจำปีงบประมาณ พ.ศ. 2568 ของจังหวัดและกลุ่มจังหวัด</t>
  </si>
  <si>
    <t>แบบรายงาน 01/2568</t>
  </si>
  <si>
    <t>แบบรายงาน 02/2568</t>
  </si>
  <si>
    <t xml:space="preserve"> - เงินเหลือจ่าย 50,000 บาท</t>
  </si>
  <si>
    <t>***รายงานทุกวันที่ 5 ของเดือน โดยครั้งแรกให้รายงานภายในวันที่ 5 พฤศจิกายน 2567 ทั้งทางเอกสารและไปรษณีย์อิเล็กทรอนิกส์ที่ reportpad62@gmail.com ในรูปแบบ MS Excel***</t>
  </si>
  <si>
    <t>(5) หมายเหตุ
ผลความก้าวหน้า (ร้อยละ)/รายละเอียดของปัญหาอุปสรรค/การปรับเพิ่มหรือลดงบประมาณ/วันเริ่มต้น-สิ้นสุดสัญญาหรือคาดว่าจะแล้วเสร็จ (กรณีไม่เป็นไปตามสัญญา)/เงินเหลือจ่ายที่ไม่ใช้แล้ว/กรณีต้องกันเงินไว้เบิกเหลื่อมปี 69 (ให้ระบุวงเงิน/วันที่คาดว่าจะแล้วเสร็จด้วย)</t>
  </si>
  <si>
    <t>(4.2)
เงินเหลือจ่ายจากการก่อหนี้ผูกพัน</t>
  </si>
  <si>
    <t xml:space="preserve">(4.3)
ผลการเบิกจ่ายสะสม ณ ปัจจุบัน
</t>
  </si>
  <si>
    <t>(4.4)
คาดการณ์
ผลการเบิกจ่ายสะสม 
ณ 30 ก.ย. 68</t>
  </si>
  <si>
    <t>(4.5)
คาดการณ์
กันเงินไว้เบิกเหลื่อมปี</t>
  </si>
  <si>
    <t>เฉพาะโครงการ/กิจกรรมที่เปลี่ยนแปลงจากแผนปฏิบัติราชการประจำปี (โอนเปลี่ยนแปลง, เงินเหลือจ่าย, อื่น ๆ)</t>
  </si>
  <si>
    <t>โครงการ/กิจกรรมที่เปลี่ยนแปลงจากแผนปฏิบัติราชการประจำปี</t>
  </si>
  <si>
    <t>โครงการ (ให้ระบุทุกโครงการ/กิจกรรมที่นำงบประมาณไปใช้ในโครงการ/กิจกรรมที่เปลี่ยนแปลง)</t>
  </si>
  <si>
    <t>สนง.เกษตรจังหวัดพัทลุง</t>
  </si>
  <si>
    <t>โครงการพัฒนาศักยภาพการตลาดเศรษฐกิจดิจิทัล</t>
  </si>
  <si>
    <t>สนง.พาณิชย์จังหวัดพัทลุง</t>
  </si>
  <si>
    <t>- ส่งเสริมการใช้สิ่งบ่งชี้ทางภูมิศาสตร์ในเชิงพาณิชย์</t>
  </si>
  <si>
    <t>โครงการส่งเสริมองค์ความรู้และการบริหารจัดการน้ำ</t>
  </si>
  <si>
    <t xml:space="preserve">สนง.พลังงานจังหวัดพัทลุง </t>
  </si>
  <si>
    <t>โครงการพัทลุงเมืองเกษตรปลอดภัย</t>
  </si>
  <si>
    <t>- ส่งเสริมการใช้ปุ๋ยเพื่อลดต้นทุนการผลิต</t>
  </si>
  <si>
    <t>- พัฒนาอาสาสมัครเกษตร</t>
  </si>
  <si>
    <t>โครงการยกระดับสินค้าเกษตรและประยุกต์การใช้เทคโนโลยี และพึ่งพาตนเองด้วยพลังงานทดแทนเพื่อสร้างมูลค่าเพิ่มด้วยรูปแบบ BCG Model ครบวงจร</t>
  </si>
  <si>
    <t>สนง.เกษตรและสหกรณ์จังหวัดพัทลุง</t>
  </si>
  <si>
    <t>พัฒนาศักยภาพการผลิตและการแปรรูปปลาดุก</t>
  </si>
  <si>
    <t>ส่งเสริมการผลิตสุกรชีวภาพ (หมูหลุม)</t>
  </si>
  <si>
    <t>สนง.ประมงจังหวัดพัทลุง</t>
  </si>
  <si>
    <t>สนง.ปศุสัตว์จังหวัดพัทลุง</t>
  </si>
  <si>
    <t>โครงการเพิ่มประสิทธิภาพการผลิตสินค้าเกษตรเพื่อสร้างความสามารถทางการแข่งขัน</t>
  </si>
  <si>
    <t xml:space="preserve"> เพิ่มประสิทธิภาพการผลิตไม้ผลเศรษฐกิจ</t>
  </si>
  <si>
    <t xml:space="preserve">เทศบาลตำบลหารเทา </t>
  </si>
  <si>
    <t>โครงการยกระดับการท่องเที่ยวเชิงสร้างสรรค์และประชาสัมพันธ์การท่องเที่ยวเพื่อเพิ่มมูลค่า</t>
  </si>
  <si>
    <t>การท่องเที่ยวชุมชนแบบมีส่วนร่วม</t>
  </si>
  <si>
    <t>Amazing Phatthalung Festival</t>
  </si>
  <si>
    <t>ครีเอทีฟ เฟส ในผืนป่า</t>
  </si>
  <si>
    <t>โครงการพัฒนาการท่องเที่ยวและการกีฬาแนวใหม่จังหวัดพัทลุง</t>
  </si>
  <si>
    <t>Phatthalung Sport Tourism</t>
  </si>
  <si>
    <t>ส่งเสริมและพัฒนาคนด้านการกีฬาจังหวัดพัทลุง ปี 2568</t>
  </si>
  <si>
    <t>สนง.พัฒนาชุมชนฯ</t>
  </si>
  <si>
    <t>โครงการส่งเสริมการพัฒนาเชื่อมโยงเส้นทางการท่องเที่ยวเชิงศาสนา และวัฒนธรรมสร้างสรรค์ “พัทลุงเมืองศาสตร์ศิลป์ถิ่นหนังโนรา”</t>
  </si>
  <si>
    <t>ส่งเสริมการท่องเที่ยวด้านศาสนา ศิลปะและวัฒนธรรม</t>
  </si>
  <si>
    <t>พัฒนาเชื่อมโยงเส้นทางการท่องเที่ยวเชิงวัฒนธรรมสร้างสรรค์  จังหวัดพัทลุง</t>
  </si>
  <si>
    <t>สนง.วัฒนธรรมจังหวัดพัทลุง</t>
  </si>
  <si>
    <t>โครงการปรับปรุงถนนคอนกรีต สายบ้านโคกคีรี - บ้านควนปอม ตำบลตำนาน อำเภอเมืองพัทลุง จังหวัดพัทลุง (ช่วงที่ 2)</t>
  </si>
  <si>
    <t>แขวงทางหลวงชนบทพัทลุง</t>
  </si>
  <si>
    <t>ปรับปรุงถนนคอนกรีต สายบ้านโคกคีรี-บ้านควนปอม ตำบลตำนาน อำเภอเมือง จังหวัดพัทลุง  (ช่วงที่ 2)</t>
  </si>
  <si>
    <t>โครงการพัฒนาด้านสังคม  ( 2 โครงการ )</t>
  </si>
  <si>
    <t>โครงการคนเมืองลุง คนคุณภาพ</t>
  </si>
  <si>
    <t>แก้จนคนเมืองลุง ปันสุขคนเปราะบาง</t>
  </si>
  <si>
    <t>การประกวดอำเภอ ชมรม TO BE NUMBER ONE ประเภทต่างๆ ระดับจังหวัดพัทลุง ปีงบประมาณ 2568</t>
  </si>
  <si>
    <t>ส่งทีมเข้าร่วมการประกวด TO BE NUMBER ONE TEEN DANCERCISE THAILAND CHAMPIONSHIP 2025 ระดับภูมิภาค (6 ทีม)</t>
  </si>
  <si>
    <t>ส่งเยาวชนเข้าร่วมการประกวดเยาวชนต้นแบบ TO BE NUMBER ONE IDOL ระดับภูมิภาคประจำปี 2568</t>
  </si>
  <si>
    <t>ส่งจังหวัด/ชมรมฯ เข้าร่วมการประกวดชมรม TO BE NUMBER ONE ประเภทต่างๆ แข่งขันระดับภูมิภาคประจำปี 2568 (จำนวน 25 ทีม)</t>
  </si>
  <si>
    <t>ส่งทีมเข้าร่วมการประกวด TO BE NUMBER ONE TEEN DANCERCISE THAILAND CHAMPIONSHIP 2025 ระดับประเทศ (3 ทีม)</t>
  </si>
  <si>
    <t>การประกวด TO BE NUMBER ONE IDOL ระดับประเทศ</t>
  </si>
  <si>
    <t>การลงพื้นที่เพื่อการประเมินจังหวัด TO BE NUMBER ONE ของคณะกรรมการระดับประเทศ (ประเภทจังหวัด และชมรม TO BE NUMBER ONE ประเภทต่างๆ รวม 12 แห่ง)</t>
  </si>
  <si>
    <t>มหกรรม TO BE NUMBER ONE ระดับประเทศ</t>
  </si>
  <si>
    <t xml:space="preserve"> การแลกเปลี่ยนเรียนรู้จังหวัด และชมรม TO BE NUMBER ONE เพื่อการสร้างเครือข่าย และพัฒนางานโครงการ TO BE NUMBER ONE จังหวัดพัทลุง    </t>
  </si>
  <si>
    <t>การอบรมแกนนำ TO BE NUMBER ONE ระดับต่างๆ (CORE TEAM)</t>
  </si>
  <si>
    <t>อนุรักษ์ฟื้นฟูทรัพยากรธรรมชาติสิ่งแวดล้อมทะเลสาบและอนุรักษ์สัตว์ป่าทะเลหายาก</t>
  </si>
  <si>
    <t>โครงการอนุรักษ์ฟื้นฟูทรัพยากรธรรมชาติสิ่งแวดล้อมทะเลสาบและอนุรักษ์สัตว์ป่าทะเลหายาก</t>
  </si>
  <si>
    <t>ศูนย์ศึกษาธรรมชาติฯ</t>
  </si>
  <si>
    <t>ค่ายเยาวชนอนุรักษ์พื้นที่ชุ่มน้ำทะเลน้อย</t>
  </si>
  <si>
    <t xml:space="preserve">เขตห้ามล่าสัตว์ป่าทะเลหลวง </t>
  </si>
  <si>
    <t xml:space="preserve">โครงการก่อสร้างเขื่อนป้องกันตลิ่งริมคลองหานโพธิ์ ความยาว 325 เมตร บ้านควนสามโพธิ์ หมู่ที่ 5 ตำบลควนขนุน อำเภอเขาชัยสน จังหวัดพัทลุง </t>
  </si>
  <si>
    <t>สนง.โยธาธิการและผังเมืองจังหวัดพัทลุง</t>
  </si>
  <si>
    <t>โครงการก่อสร้างเขื่อนป้องกันตลิ่งริมคลองอ้ายใหญ่ ความยาว 250 เมตร บ้านอ้าย หมู่ที่ 2 ตำบลชัยบุรี อำเภอเมืองพัทลุง จังหวัดพัทลุง</t>
  </si>
  <si>
    <t xml:space="preserve">โครงการก่อสร้างเขื่อนป้องกันตลิ่งพร้อมปรับปรุงภูมิทัศน์ บริเวณวัดคลองขุด ความยาว 195 เมตร หมู่ที่ 8 ตำบลหานโพธิ์ อำเภอเขาชัยสน จังหวัดพัทลุง </t>
  </si>
  <si>
    <t>ก่อสร้างเขื่อนป้องกันตลิ่งพร้อมปรับปรุงภูมิทัศน์ บริเวณวัดคลองขุด หมู่ที่ 8 ตำบลหานโพธิ์ อำเภอเขาชัยสน จังหวัดพัทลุง ความยาว 195 เมตร</t>
  </si>
  <si>
    <t>โครงการก่อสร้างเขื่อนป้องกันตลิ่งริมคลองปรางหมู่ ความยาวรวม 275 เมตร ถนนสายปรางหมู่นอก - ทุ่งหน้าถ้ำ หมู่ที่ 4 ตำบลพนมวังก์ อำเภอควนขนุน จังหวัดพัทลุง</t>
  </si>
  <si>
    <t>1) พิธีกรรมโนราโรงครูท่าแค</t>
  </si>
  <si>
    <t>2) พิธีกรรมไหว้ครูหนังตะลุง</t>
  </si>
  <si>
    <t>3) พิธีสมโภชศาลหลักเมืองพัทลุงกึ่งทศวรรษ</t>
  </si>
  <si>
    <t>4) พิธีกรรมตามรอยพิธีกรรมสำนักเขาอ้อ</t>
  </si>
  <si>
    <t>1) พัฒนาเส้นทางท่องเที่ยววัฒนธรรมสร้างสรรค์</t>
  </si>
  <si>
    <t>3) การพัฒนาต่อยอดทุนทางวัฒนธรรม 
ยกระดับ Soft Power 5 F</t>
  </si>
  <si>
    <t>4) การอบรมปฏิบัติการ "นักเล่าเรื่องประจำชุมชน"</t>
  </si>
  <si>
    <t>เตรียมพื้นที่และประสานชุมชน</t>
  </si>
  <si>
    <t>- ส่งเสริมการเพิ่มประสิทธิภาพการทำนาข้าวริมเล
  สู่การท่องเที่ยวเชิงเกษตร</t>
  </si>
  <si>
    <t>- พัฒนาศักยภาพการผลิตสินค้าเกษตรปลอดภัย
  จังหวัดพัทลุง</t>
  </si>
  <si>
    <t>ลดต้นทุนและเพิ่มประสิทธิภาพการผลิตปาล์มน้ำมัน
ครบวงจร</t>
  </si>
  <si>
    <t>- พัฒนาศักยภาพกลุ่มเกษตรกรในการบริหารจัดการน้ำด้วยระบบโซล่าเซลล์สูบน้ำแบบเคลื่อนที่ ขนาดแผงโซล่าเซลล์ 550 วัตต์</t>
  </si>
  <si>
    <t>ศูนย์วิจัยข้าวพัทลุง</t>
  </si>
  <si>
    <t>เทศบาลตำบลแหลมโตนด</t>
  </si>
  <si>
    <t>สนง.พัฒนาชุมชน จ.พัทลุง</t>
  </si>
  <si>
    <t>สนง.พัฒนาชุมชนจ.พัทลุง</t>
  </si>
  <si>
    <t xml:space="preserve">  กิจกรรมที่ 1  ยกระดับศักยภาพผู้นำกลุ่มองค์กรภาคประชาชนในการพัฒนาคุณภาพชีวิตครัวเรือน เป้าหมายในระบบ TPMAP ตามหลักปรัชญาของเศรษฐกิจพอเพียง</t>
  </si>
  <si>
    <t xml:space="preserve"> กิจกรรมที่ 2 เสริมสร้างคุณค่าทางสังคมผู้สูงอายุ </t>
  </si>
  <si>
    <t>2) การจัดทำสื่อประชาสัมพันธ์แหล่งท่องเที่ยวชุมชน
และแหล่งเรียนรู้ทางวัฒนธรรม</t>
  </si>
  <si>
    <t>กำหนดจัดงานวันที่ 7 -10 พ.ค.68
อยู่ระหว่างเตรียมประชุมคณะทำงาน</t>
  </si>
  <si>
    <t>อยู่ระหว่างดำเนินการ จัดซื้อวัสดุฝึกอบรม 
กำหนดจัดอบรม ประมาณ กุมภาพันธ์ 68</t>
  </si>
  <si>
    <t>หารือกำหนดระยะเวลาการจัดกิจกรรมกับเครือข่ายศิลปิน
หนังตะลุงในจังหวัดพัทลุง</t>
  </si>
  <si>
    <t>อยู่ระหว่างดำเนินการประสานวิทยากรและเตรียมข้อมูล
สำหรับการจัดอบรม ในเดือนม.ค.68</t>
  </si>
  <si>
    <t>ร้อยละ</t>
  </si>
  <si>
    <t xml:space="preserve">1.ค้นหาผู้จัดโปรแกรมท่องเที่ยวเชิงสร้างสรรค์(Champ) ผลิตภัณฑ์เด่น และการทดสอบโปรแกรมท่องเที่ยว </t>
  </si>
  <si>
    <t>2.ยกระดับและพัฒนาผลิตภัณฑ์เพื่อการท่องเที่ยว</t>
  </si>
  <si>
    <t>3. ยกระดัยการสร้างประสบการณ์การท่องเที่ยวเชิงสร้างสรรค์บนทุนวัฒนธรรมและวิถีชีวิต</t>
  </si>
  <si>
    <t>กำหนดจัดกิจกรรมระหว่างเดือน เม.ย.-มิ.ย.68</t>
  </si>
  <si>
    <t xml:space="preserve">สนง.สาธารณสุข จ.พัทลุง
</t>
  </si>
  <si>
    <t>สนง.สาธารณสุข จ.พัทลุง</t>
  </si>
  <si>
    <t>ค่ายเยาวชนแกนนำ TO BE NUMBER ONE 
(3 วัน 2 คืน)</t>
  </si>
  <si>
    <t>ค่ายพัฒนาทักษะเยาวชน TO BE NUMBER ONE 
(3 วัน) (ทักษะการเป็นผู้นำ ทักษะการนำเสนอ 
ทักษะการเต้น ทักษะร้องเพลง</t>
  </si>
  <si>
    <t xml:space="preserve">กำหนดการฝึกอบรม รวม 8 รุ่น
 ไตรมาส ที่ 1 จำนวน 2 รุ่น              
ไตรมาสที่ 2 จำนวน 3 รุ่น               
 ไตรมาสที่ 3 จำนวน 3 รุ่น </t>
  </si>
  <si>
    <t>สนง.การท่องเที่ยวและกีฬาจังหวัดพัทลุง</t>
  </si>
  <si>
    <t>กำหนดจัดกิจกรรม 24 มค.2568</t>
  </si>
  <si>
    <t>กำหนดจัดกิจกรรม 13 ธค.2567</t>
  </si>
  <si>
    <t>กำหนดจัดกิจกรรม 5 พย.2567</t>
  </si>
  <si>
    <t>กำหนดจัดกิจกรรม 7 - 8 มีค.2568</t>
  </si>
  <si>
    <t>กำหนดจัดกิจกรรม 5 - 7 มีค.2568</t>
  </si>
  <si>
    <t>กำหนดจัดกิจกรรม 6 - 10 กพ.2568</t>
  </si>
  <si>
    <t>กำหนดจัดกิจกรรม เม.ย.- พ.ค. .2568</t>
  </si>
  <si>
    <t>กำหนดจัดกิจกรรม มิ.ย.2568</t>
  </si>
  <si>
    <t>กำหนดจัดกิจกรรม 11 - 16 กค.2568</t>
  </si>
  <si>
    <t>กำหนดจัดกิจกรรม 20 กพ. 68 และ 23 พค.2568</t>
  </si>
  <si>
    <t>กำหนดจัดกิจกรรม23 ธค. 2567</t>
  </si>
  <si>
    <t>กำหนดจัดกิจกรรม 16 - 18  มค. 2568</t>
  </si>
  <si>
    <t>กำหนดจัดกิจกรรม 9 - 11  มค. 2568</t>
  </si>
  <si>
    <t>- ปรับปรุงซ่อมแซมเหมืองส่งน้ำ กว้าง 0.80 เมตร ยาว 1,497 เมตร (แบบเปิดยาว 1,397 เมตร และแบบปิดยาว 100 เมตร)</t>
  </si>
  <si>
    <t>ประกาศร่างเอกสารประกวดราคาฯ 
ตั้งแต่วันที่ 28 พฤศจิกายน - 3 ธันวาคม 2567 (3 วันทำการ)</t>
  </si>
  <si>
    <t>ปรับปรุงร่างเอกสารประกวดราคาฯ  เนื่องจากมีผู้วิจารณ์</t>
  </si>
  <si>
    <t>เสนอรายงานขอซื้อขอจ้าง พร้อมประกาศร่างเอกสารประกวดราคาฯ</t>
  </si>
  <si>
    <t>ประกาศร่างเอกสารประกวดราคาฯ
 ตั้งแต่วันที่ 28 พฤศจิกายน - 3 ธันวาคม 2567 (3 วันทำการ)</t>
  </si>
  <si>
    <t>กำหนดดำเนินการอบรม 
ระหว่างวันที่ 11 - 26 ธ.ค. 67</t>
  </si>
  <si>
    <t>ประชุมเตรียมความพร้อมหมู่บ้านเป้าหมาย 
(รอเปลี่ยนแปลงพื้นที่เป้าหมาย)</t>
  </si>
  <si>
    <t>อยู่ระหว่างเตรียมเอกสารจัดซื้อวัสดุฝึกอบรมฯ</t>
  </si>
  <si>
    <t>อยู่ระหว่างจัดกิจกรรม</t>
  </si>
  <si>
    <t>กำหนดจัดกิจกรรมระหว่างเดือน ก.ค.-ก.ย.68</t>
  </si>
  <si>
    <t>โครงการปรับปรุงถนนลาดยางแอสฟัลต์คอนกรีต สายบ้านลานโย – บ้านหน้าป่า ตำบลบ้านพร้าว 
อำเภอป่าพะยอม จังหวัดพัทลุง</t>
  </si>
  <si>
    <t>หน่วย : บาท</t>
  </si>
  <si>
    <t>กระทรวง - หน่วยงาน - ผลผลิต/โครงการ</t>
  </si>
  <si>
    <t>ผลเบิกจ่าย</t>
  </si>
  <si>
    <t xml:space="preserve"> กิจกรรม - รายการ</t>
  </si>
  <si>
    <t>เบิกจ่าย (บาท)</t>
  </si>
  <si>
    <t>คงเหลือ (บาท)</t>
  </si>
  <si>
    <t>จังหวัดและกลุ่มจังหวัด</t>
  </si>
  <si>
    <t>โครงการ : โครงการพัฒนาด้านการท่องเที่ยวและบริการ</t>
  </si>
  <si>
    <t>พัฒนาการท่องเที่ยวและการกีฬาแนวใหม่จังหวัดพัทลุง</t>
  </si>
  <si>
    <t>สนง.เกษตร จ.พัทลุง</t>
  </si>
  <si>
    <t>สนง.พาณิชย์ จ.พัทลุง</t>
  </si>
  <si>
    <t>สนง.วัฒนธรรม จ.พัทลุง</t>
  </si>
  <si>
    <t>อยู่ระหว่างดำเนินการจัดซื้อจัดจ้าง
(พิจารณาผลการประกวดราคาอิเล็กทรอนิกส์)</t>
  </si>
  <si>
    <t>วันที่ 6 ธ.ค.67 กำหนดประชุมคณะอำนายการสิ่งบ่งชี้
ทางภูมิศาสตร์จังหวัดพัทลุง ปี 2568 โดยมี ผวจ.พท. 
เป็นประธาน เพื่อคัดเลือกสินค้าที่จะจัดทำคำขอขึ้นทะเบียนเป็นสิ่งบ่งชี้ทางภูมิศาสตร์</t>
  </si>
  <si>
    <t>กำหนดจัดอบรมเดือนธันวาคม 2567</t>
  </si>
  <si>
    <t>ยืมเงิน ค่าอาหารกลางวัน 13,200 บาท
ยืมเงิน ค่าอาหารว่าง 7,700 บาท
(อยู่ระหว่างการจัดอบรม)</t>
  </si>
  <si>
    <t>อยู่ระหว่าง แต่งตั้งคณะกรรมการ TOR/ราคากลาง</t>
  </si>
  <si>
    <t>ความคืบหน้า</t>
  </si>
  <si>
    <t>- เชื่อมโยงตลาดสินค้าอัตลักษณ์ สินค้าเกษตร สินค้าสิ่งบ่งชี้ทางภูมิศาสตร์ (GI) ผลิตภัณฑ์ชุมชน OTOP SMEs</t>
  </si>
  <si>
    <t>พัฒนาศักยภาพกลุ่มเกษตรกรผู้เลี้ยงสัตว์
ในการผลิตแก๊สชีวภาพ</t>
  </si>
  <si>
    <t xml:space="preserve">ขายเอกสารประกวดราคา ถึงวันที่ 12 ธันวาคม 2567
</t>
  </si>
  <si>
    <t>จัดกิจกรรมแล้วเสร็จ เมื่อ 30 พ.ย. 67
อยู่ระหว่างส่งมอบงานจ้าง</t>
  </si>
  <si>
    <t>ขออนุมัติดำเนินโครงการ 
กำหนดจัดงาน ระหว่างวันที่ 3 - 5 ก.พ.68</t>
  </si>
  <si>
    <t>มีผู้วิจารณ์ร่าง TOR (คำนวณราคากลางผิดพลาด)
ยกเลิกประกาศ เพื่อกำหนดราคากลางใหม่</t>
  </si>
  <si>
    <t>การประกวดการแข่งขัน TO BE NUMBER ONE TEEN DANCERCISE THAILAND CHAMPIONSHIP 2025 
ระดับจังหวัด ปี 2568</t>
  </si>
  <si>
    <t>ก่อสร้างเขื่อนป้องกันตลิ่งริมคลองหานโพธิ์ บ้านควนสามโพธิ์ 
หมู่ที่ 5 ตำบลควนขนุน อำเภอเขาชัยสน จังหวัดพัทลุง 
ความยาว 325 เมตร</t>
  </si>
  <si>
    <t xml:space="preserve"> ก่อสร้างเขื่อนป้องกันตลิ่งริมคลองปรางหมู่ ถนนสายปรางหมู่นอก-ทุ่งหน้าถ้ำ หมู่ที่ 4 ตำบลพนมวังก์ อำเภอควนขนุน 
จังหวัดพัทลุง ความยาวรวม 275 เมตร</t>
  </si>
  <si>
    <t>อยู่ระหว่างการจัดทำเอกสารในระบบ เพื่อขึ้นประกาศ</t>
  </si>
  <si>
    <t>ประกาศร่างประกวดราคา</t>
  </si>
  <si>
    <t>16 ธค.67</t>
  </si>
  <si>
    <t>103,400 (ยืมกิจก.2.1)
55,000 บ. เบิกค่าวัสดุ 2.3)</t>
  </si>
  <si>
    <t xml:space="preserve">เริ่ม ดำเนินการได้ประมาณ ไตรมาสที่ 2 
(เดือน กุมภาพันธ์ - มีนาคม 2568) เนื่องจาก เริ่มเข้าสู่ฤดูฝน  มีคลื่นลมแรงและปริมาณน้ำในพื้นที่สูง จึงเห็นสมควรรอให้พ้นจากฤดูฝนไปเสียก่อน </t>
  </si>
  <si>
    <t>1,050 ค่าวัสดุเกษตร
41,400 ยืมค่าอาหารกลางวันระดับอำเภอ
7,200 ยืมค่าอาหารกลางวันระดับจังหวัด</t>
  </si>
  <si>
    <t>24 ธค 67</t>
  </si>
  <si>
    <t>10,425 ค่าเอกสาร
600 ค่าป้ายไวนิล</t>
  </si>
  <si>
    <t>ค่าอา</t>
  </si>
  <si>
    <t xml:space="preserve">
</t>
  </si>
  <si>
    <t>39,600 บ (ค่าอาหารกลางวัน)
23,100 (ค่าอาหารว่าง)</t>
  </si>
  <si>
    <t>27 ธค 67</t>
  </si>
  <si>
    <t>เบิกค่าอาหาร 20,000 บ.
เบิกอาหารว่าง 5,000 บ.</t>
  </si>
  <si>
    <t>เบิกค่าอาหาร 40,000 บ.
เบิกอาหารว่าง 20,000 บ.</t>
  </si>
  <si>
    <t>ค่าตอบแทนวิทยากร 3,600 บ.
ค่าอาหาร+เบรก 5,700 บ.
ป้ายไวนิล 500 บ.
ค่าเอกสาร 600 บ.
ค่าเมล็ดพันธุ์ข้าว 1,000 บ.</t>
  </si>
  <si>
    <t>ก่อสร้างเขื่อนป้องกันตลิ่งริมคลองอ้ายใหญ่ บ้านอ้าย 
หมู่ที่ 2 ตำบลชัยบุรี อำเภอเมืองจังหวัดพัทลุง ความยาว 250 เมตร</t>
  </si>
  <si>
    <t>ยืมเงิน 20,400 บ.</t>
  </si>
  <si>
    <t>การประกวดเยาวชนต้นแบบ TO BE NUMBER ONE IDOL 
ระดับจังหวัด ปี 2568</t>
  </si>
  <si>
    <t>โครงการรณรงค์ป้องกันและแก้ไขปัญหายาเสพติด 
TO BE NUMBER ONE จังหวัดพัทลุง ปีงบประมาณ 2568</t>
  </si>
  <si>
    <t>โครงการ ยกระดับไม้ผลเศรษฐกิจที่มีคุณภาพและปลอดภัย
เพื่อสร้างความสามารถในการแข่งขัน</t>
  </si>
  <si>
    <t>กำหนดจัดกิจกรรม 22 - 24 พย.2567
(ยืมเงินค่าอาหาร 100,800 บาท)
(ยืมเงินค่าที่พัก 136,000 บาท</t>
  </si>
  <si>
    <t xml:space="preserve">กำหนดจัดอบรมเดือนธันวาคม 2567 </t>
  </si>
  <si>
    <t>14,400 วิทยากร 9,000 ค่าเอกสาร  
21,600 ค่าอาหาร 1,800 ค่าปากกา 
12,600 ค่าอาหารว่าง 3,000 ป้ายไวนิล 
16,200 กระเป๋า</t>
  </si>
  <si>
    <t>ยืมเงิน 51,600 บ.</t>
  </si>
  <si>
    <t>โครงการซ่อมสร้างถนนแอสฟัลท์ติกคอนกรีต รหัสทางหลวงท้องถิ่น พท.ถ. 41 - 047 สายทางบ้านหารเทา - โคกเหล็ก - ม่วงทวน หมู่ที่ 11,3 ตำบลหารเทา อ.ปากพะยูน จ.พัทลุง</t>
  </si>
  <si>
    <t>ซ่อมสร้างถนนแอสฟัลท์ติกคอนกรีต รหัสทางหลวงท้องถิ่น พท.ถ. 41 - 047 สายทางบ้านหารเทา - โคกเหล็ก - ม่วงทวน หมู่ที่ 11,3 ตำบลหารเทา อำเภอปากพะยูน จังหวัดพัทลุง</t>
  </si>
  <si>
    <t>การประยุกต์ใช้ชุดเทคโนโลยีในการเพิ่มประสิทธิภาพการผลิตและมูลค่าข้าวไร่จังหวัดพัทลุง ภายใต้ BCG Model</t>
  </si>
  <si>
    <t>1,050 ค่าวัสดุสาธิต</t>
  </si>
  <si>
    <t>ยืมเงิน 14,750 บ.
(ค่าวิทยากร 2,400 ค่าอาหาร 7,800+ค่าอาหารว่าง 4,550 บ.)</t>
  </si>
  <si>
    <t>ปรับปรุงถนนลาดยางแอสฟัลต์คอนกรีต สายบ้านลานโย – 
บ้านหน้าป่า ตำบลบ้านพร้าว อำเภอป่าพะยอม จังหวัดพัทลุง</t>
  </si>
  <si>
    <t>- ยกระดับการรักษาคุณภาพการผลิตไม้ผลให้มีคุณภาพและปลอดภัย</t>
  </si>
  <si>
    <t>คงเหลือ</t>
  </si>
  <si>
    <t>14 มค.68</t>
  </si>
  <si>
    <t>ค่าเช่ารถตู้ 100,800 บ</t>
  </si>
  <si>
    <t>ค่าอาหาร 10800 บ.
ค่าอาหารกลางวัน 9,720 บ.
เจ้าหน้าที่ 2,160 บ.
ค่าอาหารว่าง 5,670
เจ้าหน้าที่ 1,260 บ.
ค่าเดินทาง  8,100 บ.
ค่าเอกสาร 4050 บ.</t>
  </si>
  <si>
    <t>ค่าวัวดุ 1,400 บ
จ้างเหมาทำเอกสาร 9,800 บ
จ้างเหมาทำกระเป๋าเอกสาร 22,400 บ.</t>
  </si>
  <si>
    <t>ค่าอาหารว่าง 4550 บ.</t>
  </si>
  <si>
    <t>ค่าปุ๋ย 16,500 บ</t>
  </si>
  <si>
    <t>ค่าวัสดุฝึก 19,700 บ.
ค่าวัสดุ 22,000 บ.
ค่าเอกสาร 1000 บ.
ค่าจ้างเอกสาร 15,400 บ.</t>
  </si>
  <si>
    <t>28 มค 68</t>
  </si>
  <si>
    <t>ลดต้นทุนและเพิ่มประสิทธิภาพการผลิตปาล์มน้ำมันครบวงจร</t>
  </si>
  <si>
    <t>เบิกค่าเครื่องสีข้าว 495,000 บ.</t>
  </si>
  <si>
    <t>ก.2.1 ค่าป้ายไวนิล 1000 บ.
ก.2.1 ค่าวัสดุ 4,200 บ.
ก.2.2 น้ำยา test 72,000
ก.2.2 วัสดุเกษตร  411,000</t>
  </si>
  <si>
    <t>40,000 บ. (เบิก 21 มค.68)
20,000 บ. ค่าอาหารว่าง</t>
  </si>
  <si>
    <t>ค่ายเยาวชนแกนนำ TO BE NUMBER ONE (3 วัน 2 คืน)</t>
  </si>
  <si>
    <t>เบิก 21-01-68</t>
  </si>
  <si>
    <t>3) การพัฒนาต่อยอดทุนทางวัฒนธรรม ยกระดับ Soft Power 5 F</t>
  </si>
  <si>
    <t>การประกวดการแข่งขัน TO BE NUMBER ONE TEEN DANCERCISE THAILAND CHAMPIONSHIP 2025 ระดับจังหวัด ปี 2568</t>
  </si>
  <si>
    <t>เกษตรปลอดภัย</t>
  </si>
  <si>
    <t>กิจกรรมที่ 1</t>
  </si>
  <si>
    <t>กิจกรรมที่ 2</t>
  </si>
  <si>
    <t>กิจกรรมที่ 3</t>
  </si>
  <si>
    <t>กิจกรรมที่ 4</t>
  </si>
  <si>
    <t>10425 ค่าจ้างทำเอกสาร
600 ค่าป้ายไวนิล
231,950 ยืมเงิน</t>
  </si>
  <si>
    <t>กำหนดจัดกิจกรรม 23 ธค. 2567</t>
  </si>
  <si>
    <t>ก.2.1  ค่าตอบแทนวิทยากร 82,800 บ.
ก.2.1  ค่าอาหารว่าง 294,000 บ.
ก.2.1 ค่าอาหารว่าง 88,200 บ.
ก. 2.1 ค้าจ้างเรือ 28,800 บ.
ก. 2.1 ค่าเดินทางเหมา ไป-กลับ 36,000 
ค่าวัสดุ   20,160</t>
  </si>
  <si>
    <t>ค่าอาหารกลางวัน 26400
ค่าอาหารว่าง 15,400
อาหารกลางวันระดับอำเภอ 13,800
ค่าอาหารว่างระดับอำเภอ 8,050 บ.
ค่าอาหารกลางวัน 2,400 บ.
ยืมแล้ว 1,400 บ.
ค่าวัสดุสาธิต   1,050 บ.</t>
  </si>
  <si>
    <t>งบกลุ่ม</t>
  </si>
  <si>
    <t>เบิก</t>
  </si>
  <si>
    <t>7 กพ 68</t>
  </si>
  <si>
    <t>39,200 บาท (ค่าจ้างทำเอกสาร)</t>
  </si>
  <si>
    <t>18 กพ 68</t>
  </si>
  <si>
    <t>ซื้อวัสดุเกษตร  100,100 บาท
ค่าอาหารว่าง 25,650 บาท</t>
  </si>
  <si>
    <t>ยืมเงิน  88,250 บาท</t>
  </si>
  <si>
    <t>ก่อหนี้ (บาท)</t>
  </si>
  <si>
    <t>24 กพ 68</t>
  </si>
  <si>
    <t>ค่าวัสดุสาธิต 4,000 บาท
จ้างเหมาทำป้าย 8,130 บาท</t>
  </si>
  <si>
    <t>78,000 บาท</t>
  </si>
  <si>
    <t>28 กพ 68</t>
  </si>
  <si>
    <t>ดำเนินการและเบิกจ่ายแล้วเสร็จ</t>
  </si>
  <si>
    <t>จัดกิจกรรมแล้วเสร็จเมื่อ 24 มค.2568</t>
  </si>
  <si>
    <t>จัดกิจกรรมแล้วเสร็จเมื่อ 13 ธค.2567</t>
  </si>
  <si>
    <t>จัดกิจกรรมแล้วเสร็จเมื่อ 5 พย.2567</t>
  </si>
  <si>
    <t xml:space="preserve">จัดกิจกรรมแล้วเสร็จเมื่อ 22 - 24 พย.2567
</t>
  </si>
  <si>
    <t>เพิ่มจาก 28 กพ 68</t>
  </si>
  <si>
    <t>195,000 บาท (4 มีค 68)</t>
  </si>
  <si>
    <t>93,000 (4 มีค 68)</t>
  </si>
  <si>
    <t>10,000 บาท (ค่าวัสดุ)</t>
  </si>
  <si>
    <t>เบิก 500,000 บ. 
(4 มีค 68)</t>
  </si>
  <si>
    <t>เบิก 12,000 บ. (ค่าจ้างทำเกียรติบัตร)</t>
  </si>
  <si>
    <t>จ้างเหมารถบัส 65000 บ.</t>
  </si>
  <si>
    <t>ยืมเงิน 70,000 บ.</t>
  </si>
  <si>
    <t>12 มีค 68</t>
  </si>
  <si>
    <t>เพิ่มจาก 7 มีค 68</t>
  </si>
  <si>
    <t>งบดำเนินงาน</t>
  </si>
  <si>
    <t>การนำเงินเหลือจ่าย
ไปใช้</t>
  </si>
  <si>
    <t xml:space="preserve">โครงการใช้เงินเหลือจ่าย </t>
  </si>
  <si>
    <t>21 มีค 68</t>
  </si>
  <si>
    <t>เพิ่มจาก 12 มีค 68</t>
  </si>
  <si>
    <t xml:space="preserve">    2.ยกระดับและพัฒนาผลิตภัณฑ์เพื่อการท่องเที่ยว</t>
  </si>
  <si>
    <t>ค่ายพัฒนาทักษะเยาวชน TO BE NUMBER ONE (3 วัน) 
(ทักษะการเป็นผู้นำ ทักษะการนำเสนอ ทักษะการเต้น ทักษะร้องเพลง</t>
  </si>
  <si>
    <t>โครงการอนุรักษ์ฟื้นฟูทรัพยากรธรรมชาติสิ่งแวดล้อมทะเลสาบ
และอนุรักษ์สัตว์ป่าทะเลหายาก 
กิจกรรมค่ายเยาวชนพิทักษ์ป่า</t>
  </si>
  <si>
    <t>โครงการที่นำไปใช้</t>
  </si>
  <si>
    <t>28 มีค 68</t>
  </si>
  <si>
    <t>เพิ่มจาก 21 มีค</t>
  </si>
  <si>
    <t>พัฒนาศักยภาพกลุ่มเกษตรกรผู้เลี้ยงสัตว์ในการผลิตแก๊สชีวภาพ</t>
  </si>
  <si>
    <t>ส่งมอบพื้นที่และแจ้งให้เข้าดำเนินการก่อสร้าง 14 กพ 68
ผู้รับจ้างแจ้งเข้าดำเนินการก่อสร้างโครงการฯ 17 กพ.68
ผู้รับจ้างส่งแผนการก่อสร้าง เมื่อ 7 มีค.68</t>
  </si>
  <si>
    <t>ส่งมอบพื้นที่และแจ้งให้เข้าดำเนินการก่อสร้าง 14 กพ 68
ผู้รับจ้างแจ้งเข้าดำเนินการก่อสร้างโครงการฯ 17 กพ.68
ผู้รับจ้างส่งแผนการก่อสร้าง เมื่อ  7 มีค.68</t>
  </si>
  <si>
    <t>พัฒนาเชื่อมโยงเส้นทางการท่องเที่ยวเชิงวัฒนธรรมสร้างสรรค์ จ.พัทลุง</t>
  </si>
  <si>
    <t>ข้อมูล ณ วันที่ 18 เมษายน 68</t>
  </si>
  <si>
    <t>เบิกวัสดุการเกษตร 500,000 บ.</t>
  </si>
  <si>
    <t>เบิกค่าจ้างทำสติ๊กเกอร์ 22,000 บ</t>
  </si>
  <si>
    <t>เบิกค่าใช้จ่ายในการประชุม 25,650 บาท
กิจกรรมหลักที่ 1 ย่อยที่ 2 และ 3</t>
  </si>
  <si>
    <t>คืนเงิน 7,200 บาท เมื่อ 29 เม.ย.68</t>
  </si>
  <si>
    <t>23-04-68 เบิกค่ารถตู้ 28,000 บ.</t>
  </si>
  <si>
    <t>23-04-68 เบิกค่ารถตู้ 168,000 บ.</t>
  </si>
  <si>
    <t>ยืมเงิน ก.หลักที่ 2 ย่อยที่ 2.2 งปม.118,000 บาท</t>
  </si>
  <si>
    <t>496,000 บ. (เบิก 28-04-68)</t>
  </si>
  <si>
    <t>ดำเนินการและเบิกจ่าย 100 %</t>
  </si>
  <si>
    <t>เบิกครั้งที่ 1 (3,106,800 บ.)</t>
  </si>
  <si>
    <t>เบิกครั้งที่ 1 (4,152,000 บ.)
เบิกครั้งที่ 2 (3,011,584 บ.)</t>
  </si>
  <si>
    <t xml:space="preserve">สนง.พลังงาน จ.พัทลุง </t>
  </si>
  <si>
    <t>- ปรับปรุงซ่อมแซมเหมืองส่งน้ำ กว้าง 0.80 เมตร ยาว 1,497 เมตร 
(แบบเปิดยาว 1,397 เมตร และแบบปิดยาว 100 เมตร)</t>
  </si>
  <si>
    <t>ก่อหนี้ GF</t>
  </si>
  <si>
    <t>07 พค 68</t>
  </si>
  <si>
    <t>เพิ่มขึ้น</t>
  </si>
  <si>
    <t xml:space="preserve">คืนเงิน 9,100 บาท </t>
  </si>
  <si>
    <t>ลำดับ</t>
  </si>
  <si>
    <t>ยกระดับการท่องเที่ยวเชิงสร้างสรรค์และประชาสัมพันธ์
การท่องเที่ยวเพื่อเพิ่มมูลค่า</t>
  </si>
  <si>
    <t>สนง.การท่องเที่ยว 
จ.พัทลุง</t>
  </si>
  <si>
    <t>ประจำ</t>
  </si>
  <si>
    <t>ลงทุน</t>
  </si>
  <si>
    <t>พัทลุง</t>
  </si>
  <si>
    <t>เบิกจ่าย</t>
  </si>
  <si>
    <t>16 พค.68</t>
  </si>
  <si>
    <t>20400 (เบิกค่าวัสดุเมื่อ 16 -06-68)</t>
  </si>
  <si>
    <t>เบิกค่าวัสดุฝึกอบรม 100,000 บ.
ค่าทำเอกสาร 1,500 บาท</t>
  </si>
  <si>
    <t>PO</t>
  </si>
  <si>
    <t>เพิ่มจากวันที่
 7 พค 68</t>
  </si>
  <si>
    <t>การใช้จ่าย
(PO+เบิกจ่าย+
สำรองเงินมีหนี้</t>
  </si>
  <si>
    <t>ต่ำกว่า/สูงกว่า</t>
  </si>
  <si>
    <t>คืนเงิน  (บาท)
คงเหลือ</t>
  </si>
  <si>
    <t>โครงการบริหารจัดการด้านทรัพยากรธรรมชาติและสิ่งแวดล้อม   ( 5 โครงการ )</t>
  </si>
  <si>
    <t xml:space="preserve">(5) หมายเหตุ
</t>
  </si>
  <si>
    <t>โครงการพัฒนาด้านสังคม  
( 2 โครงการ )</t>
  </si>
  <si>
    <t xml:space="preserve">ร้อยละ
</t>
  </si>
  <si>
    <t xml:space="preserve"> โครงการพัฒนาด้านการเกษตร 
( 7 โครงการ )</t>
  </si>
  <si>
    <t>เดิม 24-05-67</t>
  </si>
  <si>
    <t xml:space="preserve">(1.2)
รายจ่ายประจำ 
(งบดำเนินงาน/ รายจ่ายอื่น) </t>
  </si>
  <si>
    <t>กำหนดจัดกิจกรรมระหว่างวันที่ 18 - 21 เม.ย. 68 ณ ภูเขาเจียก ต.เขาเจียก อ.เมืองพัทลุง 
บริษัทผู้รับจ้าง คือ บริษัทสานฟ้า จำกัด (มีเงินเหลือจ่าย 51,000 บาท ส่งคืนแล้ว)</t>
  </si>
  <si>
    <t>คืนเงิน 684,000 บาท หมดความจำเป็น เนื่องจาก อบจ.ใช้งบ อบจ.</t>
  </si>
  <si>
    <t>กำหนดระยะเวลาจัดงาน วันที่ 20- 22 มิถุนายน 2568 (จ้างเหมาจัดงาน)
ปัจจุบันอยู่ระหว่างรวบรวมเอกสารประกอบการเบิกจ่าย</t>
  </si>
  <si>
    <t>เริ่มต้นสัญญา 26 กุมภาพันธ์ 2568
สิ้นสุดสัญญา 9 สิงหาคม 2568 (14 งวดงาน) 
ความคืบหน้า  :  ดำเนินการแล้วเสร็จและเบิกจ่ายแล้วเสร็จ</t>
  </si>
  <si>
    <t>14 กค 68</t>
  </si>
  <si>
    <t>เบิกจ่ายแล้วเสร็จ</t>
  </si>
  <si>
    <t>22 กค.68</t>
  </si>
  <si>
    <t>166400 +22000+220000</t>
  </si>
  <si>
    <t>ไตรมาสที่ 4</t>
  </si>
  <si>
    <r>
      <rPr>
        <b/>
        <u/>
        <sz val="26"/>
        <color theme="0"/>
        <rFont val="TH Niramit AS"/>
      </rPr>
      <t>งบลงุน</t>
    </r>
    <r>
      <rPr>
        <sz val="26"/>
        <color theme="0"/>
        <rFont val="TH Niramit AS"/>
      </rPr>
      <t xml:space="preserve"> เครื่องสีข้าวขาวและข้าวกล้อง จ.พัทลุง 
(10 เครื่อง)  งปม.495,000 บาท
- ลงนามใบสั่งซื้อ 27 พ.ย.67 (งปม.495,000 บาท)
</t>
    </r>
    <r>
      <rPr>
        <b/>
        <sz val="26"/>
        <color theme="0"/>
        <rFont val="TH Niramit AS"/>
      </rPr>
      <t>(กำหนดส่งมอบ 26 ม.ค.68)
ชื่อคู่สัญญา : บริษัท คูโบต้าพัทลุงจักรกล จำกัด</t>
    </r>
    <r>
      <rPr>
        <sz val="26"/>
        <color theme="0"/>
        <rFont val="TH Niramit AS"/>
      </rPr>
      <t xml:space="preserve">
</t>
    </r>
    <r>
      <rPr>
        <b/>
        <u/>
        <sz val="26"/>
        <color theme="0"/>
        <rFont val="TH Niramit AS"/>
      </rPr>
      <t>งบดำเนินงาน</t>
    </r>
    <r>
      <rPr>
        <sz val="26"/>
        <color theme="0"/>
        <rFont val="TH Niramit AS"/>
      </rPr>
      <t xml:space="preserve"> (อบรม+วัสดุการเกษตร 422,900 บาท
กำหนดจัดอบรมไตรมาสที่ 3 - 4 (ช่วงฤดูกาลทำนา)</t>
    </r>
  </si>
  <si>
    <t>จ้างเหมาจัดทำซั้งบ้านปลา จำนวน 80 ซั้ง งปม.496,000 บาท
เริ่มต้นเมื่อวันที่ 11 มี.ค. 68 สิ้นสุดสัญญา  9 พ.ค. 68 ดำเนินการและเบิกจ่ายแล้วเสร็จ</t>
  </si>
  <si>
    <t>กำหนดจัดกิจกรรมครั้งที่ 2   วันที่ 17 มิ.ย.68</t>
  </si>
  <si>
    <t>กำหนดจัดกิจกรรม 20 - 22 มิย. 2568</t>
  </si>
  <si>
    <t>ส่วนต่าง</t>
  </si>
  <si>
    <t>- ยกระดับการรักษาคุณภาพการผลิตไม้ผล
ให้มีคุณภาพและปลอดภัย</t>
  </si>
  <si>
    <t>21 สค 68</t>
  </si>
  <si>
    <t>จัดกิจกรรมแล้วเสร็จ เมื่อ 11-16 กค.68</t>
  </si>
  <si>
    <t>ยืมเงิน ก.1 107,700 บ.
(14 สค.68)</t>
  </si>
  <si>
    <t>ยืมเงินอบรม 60,500 บาท
(20 สค 68)</t>
  </si>
  <si>
    <t>เบิก 387,000 บาท (20 สค 68)</t>
  </si>
  <si>
    <t>กิจกรรม ที่ 2 นำไปจัดกิจกรรม Hello บางแก้ว 684,000 บาท</t>
  </si>
  <si>
    <t>สนง.การท่องเที่ยว และกีฬา จ.พัทลุง</t>
  </si>
  <si>
    <t>งบแก้ไขปัญหาความเดือดร้อน 2568 (กรอบวงเงิน ผวจ)</t>
  </si>
  <si>
    <t>หมายเหตุ</t>
  </si>
  <si>
    <t>ผลการเบิกจ่าย</t>
  </si>
  <si>
    <t>งบประมาณ
(บาท)</t>
  </si>
  <si>
    <t>แหล่งงบประมาณ</t>
  </si>
  <si>
    <t>คืนเงินเหลือจ่าย มท.แล้ว (590 บาท)</t>
  </si>
  <si>
    <r>
      <t xml:space="preserve">โครงการพัฒนาการท่องเที่ยวและการกีฬาแนวใหม่จังหวัดพัทลุง
</t>
    </r>
    <r>
      <rPr>
        <b/>
        <sz val="20"/>
        <rFont val="TH Niramit AS"/>
      </rPr>
      <t>กิจกรรม</t>
    </r>
    <r>
      <rPr>
        <sz val="20"/>
        <rFont val="TH Niramit AS"/>
      </rPr>
      <t xml:space="preserve"> Phatthalung Sport Tourism (ต่อยอด)
</t>
    </r>
  </si>
  <si>
    <t>สนง.โยธาธิการและ
ผังเมืองจังหวัดพัทลุง</t>
  </si>
  <si>
    <t xml:space="preserve">อบรมเกษตรแล้ว 3 รุ่น รวม 76 ราย ณ พื้นที่อำเภอบางแก้ว 
และอำเภอเขาชัยสน เมื่อวันที่ 21-23 มค 68 ดำเนินการและเบิกจ่ายแล้วเส็จ  100 % 
</t>
  </si>
  <si>
    <t xml:space="preserve"> ลงนามจัดซื้อวัสดุฝึกอบรม 23 เมษายน 68 สิ้นสุด 2 มิถุนายน 68 
และจัดอบรมแล้วเมื่อ 16 - 30 มิย.68  (เบิกจ่ายแล้ว 100 %)</t>
  </si>
  <si>
    <t>กำหนดระยะเวลาแถลงข่าว วันที่ 21- 25 เมษายน 2568
กำหนดจัดงานวันที่ 7 -10 พ.ค.68 (เบิกจ่ายแล้ว 100 %)</t>
  </si>
  <si>
    <t>งบลงทุน (บาท)</t>
  </si>
  <si>
    <t>งบดำเนินงาน (บาท)</t>
  </si>
  <si>
    <t>ก่อหนี้</t>
  </si>
  <si>
    <t>ใช้จ่ายพัทลุง</t>
  </si>
  <si>
    <t>จัดสรร</t>
  </si>
  <si>
    <t>เบิกจ่ายพัทลุง</t>
  </si>
  <si>
    <t>เป้าหมายเบิกจ่าย</t>
  </si>
  <si>
    <t>เป้าหมายใช้จ่าย</t>
  </si>
  <si>
    <t>ตามมติ ครม.20 พ.ย.67</t>
  </si>
  <si>
    <t>โครงการปรับปรุงถนนคอนกรีต สายบ้านโคกคีรี -
 บ้านควนปอม ตำบลตำนาน อำเภอเมืองพัทลุง จังหวัดพัทลุง (ช่วงที่ 2)</t>
  </si>
  <si>
    <t>โครงการพัฒนาด้านการท่องเที่ยว
และบริการ  ( 5 โครงการ )</t>
  </si>
  <si>
    <t>โครงการพัฒนาด้านการท่องเที่ยวและบริการ  
( 5 โครงการ )</t>
  </si>
  <si>
    <t xml:space="preserve">   3. ยกระดัยการสร้างประสบการณ์การท่องเที่ยวเชิงสร้างสรรค์บนทุน วัฒนธรรมและวิถีชีวิต</t>
  </si>
  <si>
    <t xml:space="preserve">    1.ค้นหาผู้จัดโปรแกรมท่องเที่ยวเชิงสร้างสรรค์(Champ)  ผลิตภัณฑ์เด่น และการทดสอบโปรแกรมท่องเที่ยว </t>
  </si>
  <si>
    <t>รวมก่อหนี้
(บาท)</t>
  </si>
  <si>
    <t xml:space="preserve">(4.3)
ผลการเบิกจ่ายสะสม 
ณ ปัจจุบัน
</t>
  </si>
  <si>
    <t>ผลการเบิกจ่าย (บาท)</t>
  </si>
  <si>
    <t>กำหนดจัดกิจกรรมเดือน สค.68 คงเหลือการเบิกจ่าย 60,000 บาท
(กำหนดจัดกิจกรรม 18 สิงหาคม 2568) อยู่ระหว่างรวบรวมเอกสารประกอบการเบิกจ่าย</t>
  </si>
  <si>
    <t>2) การจัดทำสื่อประชาสัมพันธ์แหล่งท่องเที่ยวชุมชนและแหล่งเรียนรู้ ทางวัฒนธรรม</t>
  </si>
  <si>
    <t>นำไปใช้</t>
  </si>
  <si>
    <t>นำไปใช้ คกของประมง 8,000 บาท</t>
  </si>
  <si>
    <t>นำไปใช้ คก.ประมง</t>
  </si>
  <si>
    <t>นำไปใช้ คก.สนงสหกรณ์</t>
  </si>
  <si>
    <t>นำไปใช้ คกของสนง.สหกรณ์ 51,000 บาท</t>
  </si>
  <si>
    <t>นำไปใช้ คกของสนง.สหกรณ์ 21,000 บาท</t>
  </si>
  <si>
    <t>นำไปใช้ คกของสนง.สหกรณ์ 55,500 บาท</t>
  </si>
  <si>
    <t>นำไปใช้ คก.สหกรณ์ 50,000 บาท</t>
  </si>
  <si>
    <t>นำไปใช้ คก.สหกรณ์ 35,000 บาท</t>
  </si>
  <si>
    <t>นำไปใช้ คก.สหกรณ์ 13,000 บาท</t>
  </si>
  <si>
    <t>นำไปใช้ คก.สหกรณ์ 10,000 บาท</t>
  </si>
  <si>
    <t>นำไปใช้ คก.สหกรณ์ 21,000 บาท</t>
  </si>
  <si>
    <t>โครงการ ยกระดับไม้ผลเศรษฐกิจที่มีคุณภาพและปลอดภัยเพื่อสร้างความสามารถในการแข่งขัน</t>
  </si>
  <si>
    <t>สนง.สหกรณ์ จ.พัทลุง</t>
  </si>
  <si>
    <t>สนง.ประมง จ.พัทลุง</t>
  </si>
  <si>
    <t>iร้อยละ</t>
  </si>
  <si>
    <t>นำไปใช้ 
1.71,200 บาท (สนง.เกษตร)
2.คกของสนง.สหกรณ์ 62,800 บาท</t>
  </si>
  <si>
    <t>กำหนดจัดกิจกรรม 1 - 15 กย. 68
ดำเนินการและเบิกจ่าย 100 %</t>
  </si>
  <si>
    <t xml:space="preserve">                                                                                                       ข้อมูล  ณ วันที่  1 กันยายน  2568</t>
  </si>
  <si>
    <t>นำไปใช้
(บาท)</t>
  </si>
  <si>
    <t>(บาท)</t>
  </si>
  <si>
    <t xml:space="preserve">                                                                           ความคืบหน้าโครงการตามแผนปฏิบัติราชการประจำปี งบประมาณ พ.ศ. 2568</t>
  </si>
  <si>
    <t>คงเหลือสุทธิ
(บาท)</t>
  </si>
  <si>
    <t>คืนเงิน (บาท)</t>
  </si>
  <si>
    <t>นำไปใช้ในคราวประชุม 
กบจ.ครั้งที่ 4/2568</t>
  </si>
  <si>
    <t>เงินคืนคงเหลือ
(บาท)</t>
  </si>
  <si>
    <t>โครงการบริหารจัดการด้านทรัพยากรธรรมชาติและสิ่งแวดล้อม  ( 5 โครงการ )</t>
  </si>
  <si>
    <t xml:space="preserve"> ก่อสร้างเขื่อนป้องกันตลิ่งริมคลองปรางหมู่ ถนนสายปรางหมู่นอก-ทุ่งหน้าถ้ำ หมู่ที่ 4 ตำบลพนมวังก์ อำเภอควนขนุน จังหวัดพัทลุง ความยาวรวม 275 เมตร</t>
  </si>
  <si>
    <r>
      <rPr>
        <b/>
        <sz val="16"/>
        <rFont val="TH Niramit AS"/>
      </rPr>
      <t>ก.2 Amazing Phatthalung Festival  งปม.3,650,000 บาท</t>
    </r>
    <r>
      <rPr>
        <sz val="16"/>
        <rFont val="TH Niramit AS"/>
      </rPr>
      <t xml:space="preserve">
    (ก่อหนี้ 3,599,000 บาท คืนเงิน 51,000 บาท) </t>
    </r>
    <r>
      <rPr>
        <sz val="16"/>
        <color rgb="FFFF0000"/>
        <rFont val="TH Niramit AS"/>
      </rPr>
      <t>ดำเนินการและเบิกจ่ายแล้วเสร็จ</t>
    </r>
    <r>
      <rPr>
        <sz val="16"/>
        <rFont val="TH Niramit AS"/>
      </rPr>
      <t xml:space="preserve">   
</t>
    </r>
    <r>
      <rPr>
        <b/>
        <sz val="16"/>
        <color theme="1"/>
        <rFont val="TH Niramit AS"/>
      </rPr>
      <t xml:space="preserve">ก.3 ครีเอทีฟ เฟส ในผืนป่า งปม. 800,000 บาท 
     </t>
    </r>
    <r>
      <rPr>
        <sz val="16"/>
        <color theme="1"/>
        <rFont val="TH Niramit AS"/>
      </rPr>
      <t xml:space="preserve">(ลงนามสัญญา 790,900 บาท  คืนเงินแล้ว 9,100 บาท)
    (จัดกิจกรรมแล้วเสร็จ ระหว่างวันที่ 27 - 31 สค.68 ณ บริเวณสำนักงานเทศบาลตำบลบ้านนา อ.ศรีนครินทร์ จ.พัทลุง) อยู่ระหว่างรวบรวมเอกสารประกอบการเบิกจ่าย
   </t>
    </r>
  </si>
  <si>
    <r>
      <t xml:space="preserve"> 
จังหวัดพัทลุงได้รับการจัดสรรงบประมาณโครงการตามแผนปฏิบัติราชการประจำปีงบประมาณ พ.ศ.2568 </t>
    </r>
    <r>
      <rPr>
        <b/>
        <sz val="26"/>
        <color rgb="FFFF0000"/>
        <rFont val="TH Niramit AS"/>
      </rPr>
      <t xml:space="preserve">กลุ่มจังหวัดภาคใต้ฝั่งอ่าวไทย </t>
    </r>
    <r>
      <rPr>
        <b/>
        <sz val="26"/>
        <rFont val="TH Niramit AS"/>
      </rPr>
      <t xml:space="preserve">จำนวน 5 โครงการ งบประมาณรวม 57,420,216  บาท  แบ่งเป็น 
          งบดำเนินงาน    7,200,216 บาท       งบลงทุน          50,000,000 บาท       งบรายจ่ายอื่น      220,000 บาท
                                                       </t>
    </r>
  </si>
  <si>
    <t>โครงการพัฒนาและยกระดับการท่องเที่ยวเชิงนิเวศโดยชุมชนเชิงสร้างสรรค์บนฐานทุนวัฒนธรรมมรดกทางการเกษตรโลก (สงขลา พัทลุง นครศรีธรรมราช)</t>
  </si>
  <si>
    <t>สนง.การท่องเที่ยว</t>
  </si>
  <si>
    <t xml:space="preserve">  กิจกรรมที่ 1 พัฒนาศักยภาพบุคลากรในห่วงโซ่การท่องเที่ยวบนฐานทุนทางวัฒนธรรมมรดกทางการเกษตรโลก </t>
  </si>
  <si>
    <t xml:space="preserve">  กิจกรรมที่ 3 เทศกาลท่องเที่ยววิถีมรดกทางการเกษตรโลก</t>
  </si>
  <si>
    <t>รวมงบกลุ่มจังหวัด ปี 68</t>
  </si>
  <si>
    <t>รวมงบจังหวัด ปี 68</t>
  </si>
  <si>
    <t>กำหนดจัดกิจกรรมระหว่างวันที่ 8-10 ส.ค.68 ณ บริเวณจุดเช็คอิน 
ทะเลน้อย ในช่วงเดือน มิ.ย.68- ส.ค.68 (แจ้งเหลือจ่าย 15,000 บ.)</t>
  </si>
  <si>
    <t xml:space="preserve">
จังหวัดพัทลุงได้รับการจัดสรรงบประมาณโครงการตามแผนปฏิบัติราชการประจำปีงบประมาณ พ.ศ.2568 จำนวน 19 โครงการ งบประมาณรวม 219,926,100 บาท  แบ่งเป็น 
           *** (งบดำเนินงาน (9 โครงการ) 37,210,000 บาท (16.92 %) งบลงทุน (10 โครงการ) 	11 รายการ 182,716,100 บาท   (83.08 %) 
สนง.การท่องเที่ยวได้รับการสนับสนุนงบประมาณ 3 โครงการ งบประมาณ 8,750,000 บาท (เบิกจ่ายแล้ว 7,950,400 บาท  คงเหลือ 684,000 บาท คืนเงิน 115,600 บาท)
                                                       </t>
  </si>
  <si>
    <r>
      <t xml:space="preserve">ตามมติ ก.บ.จ. ครั้งที่ 3/2568 ลว.25 กค 68
ค่าจ้างเหมาจัดกิจกรรม Hello บางแก้ว จำนวน 1 ครั้ง
</t>
    </r>
    <r>
      <rPr>
        <sz val="16"/>
        <rFont val="TH Niramit AS"/>
      </rPr>
      <t>ก.1 กิจกรรม พัทลุง ปั่นชมวิว ชิลริมทะเลสาบ  (200,000 บาท) กำหนดจัด 21 กย.68
ก.2 กิจกรรม Hello บางแก้ว (484,000 บาท) กำหนดจัดกิจกรรม ณ บริเวณพื้นที่หาดไข่เต่า วันที่ 6 กย 68</t>
    </r>
  </si>
  <si>
    <r>
      <t xml:space="preserve">ประกอบด้วย 2 กิจกรรมหลัก ได้แก่
</t>
    </r>
    <r>
      <rPr>
        <b/>
        <sz val="16"/>
        <rFont val="TH Niramit AS"/>
      </rPr>
      <t xml:space="preserve">ก.1 Phatthalung Sport Tourism งปม.4,300,000 บาท 
     </t>
    </r>
    <r>
      <rPr>
        <sz val="16"/>
        <rFont val="TH Niramit AS"/>
      </rPr>
      <t xml:space="preserve">(ก่อหนี้ 4,250,000 บ.คืนเงิน 50,000 บ.)
    (กำหนดจัดกิจกรรมระหว่างวันที่  30 พ.ค.- 1 มิ.ย.68) ณ หาดแสนสุขลำปำ 
    (เบิกจ่ายแล้ว 4,244,500 บาท ส่งคืนเงิน 5,500 บาท)
</t>
    </r>
    <r>
      <rPr>
        <b/>
        <sz val="16"/>
        <rFont val="TH Niramit AS"/>
      </rPr>
      <t xml:space="preserve">ก.2 ส่งเสริมและพัฒนาคนด้านการกีฬาจังหวัดพัทลุง ปี 2568 
</t>
    </r>
    <r>
      <rPr>
        <sz val="16"/>
        <rFont val="TH Niramit AS"/>
      </rPr>
      <t xml:space="preserve">งปม.684,000 บาท (ส่งเงินคืน เนื่องจาก หมดความจำเป็น) อบจ.ใช้งบประมาณของ อบจ.
  </t>
    </r>
  </si>
  <si>
    <t>จัดกิจกรรมเมื่อ ระหว่างเดือน ก.พ. - มี.ค.68) 
ดำเนินการและเบิกจ่ายแล้วเสร็จ</t>
  </si>
  <si>
    <t xml:space="preserve"> การแลกเปลี่ยนเรียนรู้จังหวัด และชมรม TO BE NUMBER 
ONE เพื่อการสร้างเครือข่าย และพัฒนางานโครงการ TO BE NUMBER ONE จ.พัทลุง    </t>
  </si>
  <si>
    <t xml:space="preserve"> ความคืบหน้าโครงการตามแผนปฏิบัติราชการประจำปี งบประมาณ พ.ศ. 2568</t>
  </si>
  <si>
    <t>จังหวัดพัทลุง</t>
  </si>
  <si>
    <t>โครงการ : โครงการพัฒนาด้านการเกษตร</t>
  </si>
  <si>
    <t>สนง.พาณิชย์ 
จ.พัทลุง</t>
  </si>
  <si>
    <r>
      <t xml:space="preserve">สนง.พลังงาน จ.พัทลุง
</t>
    </r>
    <r>
      <rPr>
        <sz val="18"/>
        <rFont val="TH Niramit AS"/>
      </rPr>
      <t>ทต.แหลมโตนด</t>
    </r>
  </si>
  <si>
    <r>
      <rPr>
        <b/>
        <u/>
        <sz val="18"/>
        <rFont val="TH Niramit AS"/>
      </rPr>
      <t>ก.1 สนง.พลังงาน</t>
    </r>
    <r>
      <rPr>
        <sz val="18"/>
        <rFont val="TH Niramit AS"/>
      </rPr>
      <t xml:space="preserve">
 ลงนามจัดซื้อวัสดุฝึกอบรม 23 เมษายน 68 สิ้นสุด 2 มิถุนายน 68 
และจัดอบรมแล้วเมื่อ 16-30 มิย.68 (เบิกจ่าย 100 %)
</t>
    </r>
    <r>
      <rPr>
        <b/>
        <u/>
        <sz val="18"/>
        <rFont val="TH Niramit AS"/>
      </rPr>
      <t xml:space="preserve">ก.2 ทต.แหลมโตนด </t>
    </r>
    <r>
      <rPr>
        <sz val="18"/>
        <rFont val="TH Niramit AS"/>
      </rPr>
      <t xml:space="preserve">
ความคืบหน้า : ลงนามในสัญญาแล้ว 5,580,000 บาท (แจ้งคืนเงินเหลือจ่าย 9,000 บ.) 
- เริ่มต้นสัญญา 6 กพ. 68  สิ้นสุดสัญญา 5 กค. 68 
</t>
    </r>
    <r>
      <rPr>
        <b/>
        <sz val="18"/>
        <color rgb="FFFF0000"/>
        <rFont val="TH Niramit AS"/>
      </rPr>
      <t>ดำเนินการและเบิกจ่ายแล้วเสร็จ 100 %</t>
    </r>
    <r>
      <rPr>
        <sz val="18"/>
        <rFont val="TH Niramit AS"/>
      </rPr>
      <t xml:space="preserve">
</t>
    </r>
  </si>
  <si>
    <t>พัทลุงเมืองเกษตรปลอดภัย</t>
  </si>
  <si>
    <t>ยกระดับสินค้าเกษตรและประยุกต์การใช้เทคโนโลยี และพึ่งพาตนเองด้วยพลังงานทดแทนเพื่อสร้างมูลค่าเพิ่มด้วยรูปแบบ BCG Model ครบวงจร</t>
  </si>
  <si>
    <r>
      <t xml:space="preserve">สนง.กษ.จ.พท 
</t>
    </r>
    <r>
      <rPr>
        <sz val="14"/>
        <rFont val="TH Niramit AS"/>
      </rPr>
      <t>(หน่วยประสาน คก.)</t>
    </r>
  </si>
  <si>
    <t>เพิ่มประสิทธิภาพการผลิตสินค้าเกษตรเพื่อสร้างความสามารถทางการแข่งขัน</t>
  </si>
  <si>
    <t>2 กิจกรรมย่อย ดำเนินการและเบิกจ่ายแล้วเสร็จ</t>
  </si>
  <si>
    <t>ทต.หารเทา</t>
  </si>
  <si>
    <t xml:space="preserve">ดำเนินการและเบิกจ่ายแล้วเสร็จ
</t>
  </si>
  <si>
    <t>สนง.พัฒนาชุมชน จ.พัทลุง
สนง.การท่องเที่ยว จ.พัทลุง</t>
  </si>
  <si>
    <r>
      <t xml:space="preserve">ประกอบด้วย 2 กิจกรรมหลัก ได้แก่
</t>
    </r>
    <r>
      <rPr>
        <b/>
        <sz val="18"/>
        <rFont val="TH Niramit AS"/>
      </rPr>
      <t xml:space="preserve">ก.1 Phatthalung Sport Tourism งปม.4,300,000 บาท 
     </t>
    </r>
    <r>
      <rPr>
        <sz val="18"/>
        <rFont val="TH Niramit AS"/>
      </rPr>
      <t xml:space="preserve">(ก่อหนี้ 4,250,000 บ.คืนเงิน 50,000 บ.)
    (กำหนดจัดกิจกรรมระหว่างวันที่  30 พ.ค.- 1 มิ.ย.68) ณ หาดแสนสุขลำปำ 
    (เบิกจ่ายแล้ว 4,244,500 บาท ส่งคืนเงิน 5,500 บาท)
</t>
    </r>
    <r>
      <rPr>
        <b/>
        <sz val="18"/>
        <rFont val="TH Niramit AS"/>
      </rPr>
      <t xml:space="preserve">ก.2 ส่งเสริมและพัฒนาคนด้านการกีฬาจังหวัดพัทลุง ปี 2568 </t>
    </r>
    <r>
      <rPr>
        <sz val="18"/>
        <rFont val="TH Niramit AS"/>
      </rPr>
      <t xml:space="preserve">งปม.684,000 บาท 
   (ส่งเงินคืน เนื่องจาก หมดความจำเป็น) อบจ.ใช้งบประมาณของ อบจ.
  </t>
    </r>
  </si>
  <si>
    <t>ส่งเสริมการพัฒนาเชื่อมโยงเส้นทางการท่องเที่ยวเชิงศาสนา และวัฒนธรรมสร้างสรรค์ “พัทลุงเมืองศาสตร์ศิลป์ถิ่นหนังโนรา”</t>
  </si>
  <si>
    <t>สนง.วัฒนธรรม 
จ.พัทลุง</t>
  </si>
  <si>
    <t>ปรับปรุงถนนคอนกรีต สายบ้านโคกคีรี - บ้านควนปอม ตำบลตำนาน 
อำเภอเมืองพัทลุง จังหวัดพัทลุง (ช่วงที่ 2)</t>
  </si>
  <si>
    <t>ปรับปรุงถนนลาดยางแอสฟัลต์คอนกรีต สายบ้านลานโย – บ้านหน้าป่า 
ตำบลบ้านพร้าว อำเภอป่าพะยอม จังหวัดพัทลุง</t>
  </si>
  <si>
    <r>
      <t xml:space="preserve">เริ่มต้นสัญญา 26 ก.พ. 68  สิ้นสุดสัญญา 9 ส.ค. 68
(บ.พีอาร์ซี แอสฟัลท์ จำกัด) (14  งวดงาน) 
</t>
    </r>
    <r>
      <rPr>
        <b/>
        <sz val="20"/>
        <rFont val="TH Niramit AS"/>
      </rPr>
      <t>ความคืบหน้า  :  ดำเนินการและเบิกจ่ายแล้วเสร็จ</t>
    </r>
  </si>
  <si>
    <t>โครงการ : โครงการพัฒนาด้านสังคม</t>
  </si>
  <si>
    <t>คนเมืองลุง คนคุณภาพ</t>
  </si>
  <si>
    <t>สนง.พัฒนาชุมชน 
จ.พัทลุง</t>
  </si>
  <si>
    <t>รณรงค์ป้องกันและแก้ไขปัญหายาเสพติด TO BE NUMBER ONE 
จังหวัดพัทลุง ปีงบประมาณ 2568</t>
  </si>
  <si>
    <t>สนง.สาธารณสุข 
จ.พัทลุง</t>
  </si>
  <si>
    <t>14 กิจกรรมย่อย</t>
  </si>
  <si>
    <t>โครงการ : โครงการบริหารจัดการด้านทรัพยากรธรรมชาติและสิ่งแวดล้อม</t>
  </si>
  <si>
    <t>อนุรักษ์ฟื้นฟูทรัพยากรธรรมชาติสิ่งแวดล้อมทะเลสาบและอนุรักษ์
สัตว์ป่าทะเลหายาก</t>
  </si>
  <si>
    <t>เขตห้ามล่าสัตว์ป่าทะเลหลวง
ศูนย์ศึกษาธรรมชาติและสัตว์ป่าทะเลน้อย</t>
  </si>
  <si>
    <t>2 กิจกรรมย่อย ดำเนินการและเบิกจ่ายแล้วเสร็จ 100 %</t>
  </si>
  <si>
    <t>สนง.โยธาธิการ
และผังเมือง จ.พัทลุง</t>
  </si>
  <si>
    <t>เงินเหลือจ่าย 190,000 บ. นำไปใช้ คก.อนุรักษ์ฟื้นฟู</t>
  </si>
  <si>
    <t>ก่อสร้างเขื่อนป้องกันตลิ่งริมคลองอ้ายใหญ่ ความยาว 250 เมตร
บ้านอ้าย หมู่ที่ 2 ตำบลชัยบุรี อำเภอเมืองพัทลุง จังหวัดพัทลุง</t>
  </si>
  <si>
    <t>เงินเหลือจ่าย 22,000 บ. นำไปใช้ คก.อนุรักษ์ฟื้นฟู</t>
  </si>
  <si>
    <t>ก่อสร้างเขื่อนป้องกันตลิ่งริมคลองปรางหมู่ ความยาวรวม 275 เมตร 
ถนนสายปรางหมู่นอก - ทุ่งหน้าถ้ำ หมู่ที่ 4 ตำบลพนมวังก์ 
อำเภอควนขนุน จังหวัดพัทลุง</t>
  </si>
  <si>
    <t>เงินเหลือจ่าย 100,000 บ. นำไปใช้ คก.อนุรักษ์ฟื้นฟู</t>
  </si>
  <si>
    <t>โครงการใช้เงินเหลือจ่าย</t>
  </si>
  <si>
    <r>
      <t xml:space="preserve">โครงการอนุรักษ์ฟื้นฟูทรัพยากรธรรมชาติสิ่งแวดล้อมทะเลสาบ
และอนุรักษ์สัตว์ป่าทะเลหายาก 
</t>
    </r>
    <r>
      <rPr>
        <b/>
        <sz val="20"/>
        <rFont val="TH Niramit AS"/>
      </rPr>
      <t xml:space="preserve">กิจกรรม </t>
    </r>
    <r>
      <rPr>
        <sz val="20"/>
        <rFont val="TH Niramit AS"/>
      </rPr>
      <t>ค่ายเยาวชนพิทักษ์ป่า</t>
    </r>
  </si>
  <si>
    <t>อุทยานแห่งชาติเขาปู่-เขาย่า</t>
  </si>
  <si>
    <r>
      <t xml:space="preserve">โครงการอนุรักษ์ฟื้นฟูทรัพยากรธรรมชาติสิ่งแวดล้อมทะเลสาบและอนุรักษ์สัตว์ป่าทะเลหายาก 
 </t>
    </r>
    <r>
      <rPr>
        <b/>
        <sz val="20"/>
        <rFont val="TH Niramit AS"/>
      </rPr>
      <t xml:space="preserve">  กิจกรรม ค่าจ้างเหมาจัดทำสื่อวีดีทัศน์ </t>
    </r>
  </si>
  <si>
    <t>เขตห้ามล่าสัตว์ป่าทะเลหลวง</t>
  </si>
  <si>
    <r>
      <t xml:space="preserve">ยกระดับไม้ผลเศรษฐกิจที่มีคุณภาพและปลอดภัยเพื่อสร้างความสามารถ
ในการแข่งขัน
- </t>
    </r>
    <r>
      <rPr>
        <sz val="16"/>
        <rFont val="TH Niramit AS"/>
      </rPr>
      <t>ติดตั้งห้องเย็นสำเร็จรูปเก็บผลไม้ขนาด (2.4×4.8×2.4 เมตร) งปม.1,322,500 บาท
- ติดตั้งหม้อแปลง ไฟฟ้า ขนาด 30KVA 1PH.05 HZ  งปม.445,600 บาท</t>
    </r>
  </si>
  <si>
    <r>
      <t xml:space="preserve">ส่งเสริมองค์ความรู้และการบริหารจัดการน้ำ
</t>
    </r>
    <r>
      <rPr>
        <sz val="18"/>
        <rFont val="TH Niramit AS"/>
      </rPr>
      <t>(1) พัฒนาศักยภาพกลุ่มเกษตรกรในการบริหารจัดการน้ำด้วยระบบโซล่าเซลล์สูบน้ำแบบเคลื่อนที่ ขนาดแผงโซล่าเซลล์ 550 วัตต์ งปม.136,900 บาท
(2) ปรับปรุงซ่อมแซมเหมืองส่งน้ำ กว้าง 0.80 เมตร ยาว 1,497 เมตร 
(แบบเปิดยาว 1,397 เมตร และแบบปิดยาว 100 เมตร) (งปม.5,589,000 บาท)</t>
    </r>
  </si>
  <si>
    <t>ซ่อมสร้างถนนแอสฟัลท์ติกคอนกรีต รหัสทางหลวงท้องถิ่น พท.ถ. 41 - 047 
สายทางบ้านหารเทา - โคกเหล็ก - ม่วงทวน หมู่ที่ 11,3 ตำบลหารเทา 
อำเภอปากพะยูน จังหวัดพัทลุง</t>
  </si>
  <si>
    <t xml:space="preserve">ก่อสร้างเขื่อนป้องกันตลิ่งพร้อมปรับปรุงภูมิทัศน์ บริเวณวัดคลองขุด 
ความยาว 195 เมตร หมู่ที่ 8 ตำบลหานโพธิ์ อำเภอเขาชัยสน 
จังหวัดพัทลุง </t>
  </si>
  <si>
    <t>ส่งเสริมและพัฒนาคนด้านการกีฬา
จังหวัดพัทลุง ปี 2568</t>
  </si>
  <si>
    <t>3) พิธีสมโภชศาลหลักเมืองพัทลุง
   กึ่งทศวรรษ</t>
  </si>
  <si>
    <t>คืนเงินทั้งกิจกรรม 100,000 บาท (ตกรอบ)</t>
  </si>
  <si>
    <t>เบิกจ่ายแล้ว 1,257,575 บาท  (คงเหลือ 483,575 บาท)  ก.1.3 คงเหลือ 166,925 บาท 
ก.2.4 คงเหลือ 316,600 บาท</t>
  </si>
  <si>
    <t xml:space="preserve">(1.2)
รายจ่ายประจำ 
(งบดำเนินงาน/
รายจ่ายอื่น) </t>
  </si>
  <si>
    <t>ก่อสร้างเขื่อนป้องกันตลิ่งริมคลองหานโพธิ์ 
บ้านควนสามโพธิ์ หมู่ที่ 5 ตำบลควนขนุน 
อำเภอเขาชัยสน จังหวัดพัทลุง ความยาว 325 เมตร</t>
  </si>
  <si>
    <t>โครงการก่อสร้างเขื่อนป้องกันตลิ่งริมคลองอ้ายใหญ่ 
ความยาว 250 เมตร บ้านอ้าย หมู่ที่ 2 ตำบลชัยบุรี 
อำเภอเมืองพัทลุง จังหวัดพัทลุง</t>
  </si>
  <si>
    <t>โครงการก่อสร้างเขื่อนป้องกันตลิ่งริมคลองปรางหมู่ 
ความยาวรวม 275 เมตร ถนนสายปรางหมู่นอก - 
ทุ่งหน้าถ้ำ หมู่ที่ 4 ตำบลพนมวังก์ อำเภอควนขนุน 
จังหวัดพัทลุง</t>
  </si>
  <si>
    <t>ก่อสร้างเขื่อนป้องกันตลิ่งพร้อมปรับปรุงภูมิทัศน์ 
บริเวณวัดคลองขุด หมู่ที่ 8 ตำบลหานโพธิ์ 
อำเภอเขาชัยสน จังหวัดพัทลุง ความยาว 195 เมตร</t>
  </si>
  <si>
    <t xml:space="preserve"> โครงการพัฒนาด้านการเกษตร  ( 7 โครงการ )</t>
  </si>
  <si>
    <t>ปรับปรุงถนนลาดยางแอสฟัลต์คอนกรีต สายบ้านลานโย – บ้านหน้าป่า ตำบลบ้านพร้าว อำเภอป่าพะยอม
จังหวัดพัทลุง</t>
  </si>
  <si>
    <t>โครงการปรับปรุงถนนลาดยางแอสฟัลต์คอนกรีต 
สายบ้านลานโย – บ้านหน้าป่า ตำบลบ้านพร้าว 
อำเภอป่าพะยอม จังหวัดพัทลุง</t>
  </si>
  <si>
    <t>โครงการคนเมืองลุง คนคุณภาพ
กิจกรรม แก้จนคนเมืองลุง ปันสุขคนเปราะบาง</t>
  </si>
  <si>
    <t xml:space="preserve">เดิม 2,700,000 บาท  (คืนเงิน 141,000 บาท)
เงินที่คืน ใช้โอนเปลี่ยนแปลง 71,200 บาท + 67,800 บาท)
คงเหลือ  2,000 บาท)
</t>
  </si>
  <si>
    <r>
      <t xml:space="preserve">พัฒนาศักยภาพการตลาดเศรษฐกิจดิจิทัล
</t>
    </r>
    <r>
      <rPr>
        <sz val="18"/>
        <rFont val="TH Niramit AS"/>
      </rPr>
      <t xml:space="preserve">(1)  เชื่อมโยงตลาดสินค้าอัตลักษณ์ สินค้าเกษตร สินค้าสิ่งบ่งชี้ทางภูมิศาสตร์ 
     (GI) ผลิตภัณฑ์ชุมชน OTOP SMEs (งปม.2,361,000 บาท)
  </t>
    </r>
    <r>
      <rPr>
        <b/>
        <u/>
        <sz val="18"/>
        <color rgb="FFFF0000"/>
        <rFont val="TH Niramit AS"/>
      </rPr>
      <t xml:space="preserve">หมายเหตุ </t>
    </r>
    <r>
      <rPr>
        <sz val="18"/>
        <rFont val="TH Niramit AS"/>
      </rPr>
      <t xml:space="preserve">เดิม 2,500,000 บาท  (คืนเงิน 141,000 บาท)
เงินที่คืน ใช้โอนเปลี่ยนแปลง 71,200 บาท + 67,800 บาท) คงเหลือ  2,000 บาท)
(2)  ส่งเสริมการใช้สิ่งบ่งชี้ทางภูมิศาสตร์ในเชิงพาณิชย์ (งปม.200,000 บาท) </t>
    </r>
  </si>
  <si>
    <r>
      <t xml:space="preserve">ประกอบด้วย 4 กิจกรรมหลัก ได้แก่
</t>
    </r>
    <r>
      <rPr>
        <b/>
        <sz val="16"/>
        <rFont val="TH Niramit AS"/>
      </rPr>
      <t xml:space="preserve">1.พัฒนาศักยภาพการผลิตและการแปรรูปปลาดุก  งปม.84,200บาทก.
</t>
    </r>
    <r>
      <rPr>
        <sz val="16"/>
        <rFont val="TH Niramit AS"/>
      </rPr>
      <t xml:space="preserve">   ดำเนินกิจกรรมแล้วเสร็จ (เบิกจ่าย 82,540 บาท (คืนเงิน 1,660 บาท))
</t>
    </r>
    <r>
      <rPr>
        <b/>
        <sz val="16"/>
        <rFont val="TH Niramit AS"/>
      </rPr>
      <t>2.ส่งเสริมการผลิตสุกรชีวภาพ (หมูหลุม) งปม.255,500 บาท</t>
    </r>
    <r>
      <rPr>
        <sz val="16"/>
        <rFont val="TH Niramit AS"/>
      </rPr>
      <t xml:space="preserve">   
   ดำเนินกิจกรรมแล้วเสร็จ (เบิกจ่าย 100 % : 255,500 บาท )
</t>
    </r>
    <r>
      <rPr>
        <b/>
        <sz val="16"/>
        <rFont val="TH Niramit AS"/>
      </rPr>
      <t xml:space="preserve">3.พัฒนาศักยภาพกลุ่มเกษตรกรผู้เลี้ยงสัตว์ในการผลิตแก๊สชีวภาพ งปม.396,000 บาท
</t>
    </r>
    <r>
      <rPr>
        <sz val="16"/>
        <rFont val="TH Niramit AS"/>
      </rPr>
      <t xml:space="preserve">    อยู่ระหว่างดำเนินการ คาดว่ามีเงินเหลือจ่าย 14,200 บาท (ส่งคืนแล้ว)
</t>
    </r>
    <r>
      <rPr>
        <b/>
        <sz val="16"/>
        <rFont val="TH Niramit AS"/>
      </rPr>
      <t>4. การประยุกต์ใช้ชุดเทคโนโลยีในการเพิ่มประสิทธิภาพการผลิตและมูลค่าข้าวไร่</t>
    </r>
    <r>
      <rPr>
        <sz val="16"/>
        <rFont val="TH Niramit AS"/>
      </rPr>
      <t xml:space="preserve">
 - </t>
    </r>
    <r>
      <rPr>
        <sz val="14"/>
        <rFont val="TH Niramit AS"/>
      </rPr>
      <t xml:space="preserve">งบลงทุน เครื่องสีข้าวขาวและข้าวกล้อง จ.พัทลุง (10 เครื่อง) งปม 495,000 บาท (เบิกจ่ายแล้วเสร็จ )
</t>
    </r>
    <r>
      <rPr>
        <sz val="16"/>
        <rFont val="TH Niramit AS"/>
      </rPr>
      <t xml:space="preserve">- งบดำเนินงาน (อบรม วัสดุการเกษตร) งปม. 422,900 บาท (เบิกจ่ายแล้ว 422,900 บาท)
</t>
    </r>
  </si>
  <si>
    <t xml:space="preserve">ยกระดับการท่องเที่ยวเชิงสร้างสรรค์และประชาสัมพันธ์
การท่องเที่ยวเพื่อเพิ่มมูลค่า
</t>
  </si>
  <si>
    <t xml:space="preserve">เดิม 5,523,000 บาท
คืนเงินีวม  81,100 บาท นำไปใช้โอนเปลี่ยนแปลงให้ สนง.สหกรณ์ 80,000 บาท คงเหลือ 1,100 บาท
</t>
  </si>
  <si>
    <t>เดิมโครงการ งปม. 4,984,000 บาท
กิจกรรม ที่ 2 นำไปจัดกิจกรรม Hello บางแก้ว 684,000 บาท</t>
  </si>
  <si>
    <t>เดิมโครงการ งปม. 5,036,000 บาท
โอนเปลี่ยนแปลงไป 98,000 บาท คงเหลือ 4,938,000 บาท
นำไปใช้ของ ประมง  8,000 บาท
นำไปใช้ของสหกรณ์  90,000 บาท</t>
  </si>
  <si>
    <t>เดิมโครงการ งปม. 42,000,000 บาท
โอนเปลี่ยนแปลงไป 10,000 บาท คงเหลือ 41,990,000 บาท
นำไปใช้ของสหกรณ์ 10,000 บาท</t>
  </si>
  <si>
    <t>เดิมโครงการ งปม. 25,000,000 บาท
โอนเปลี่ยนแปลงไป 21,000 บาท คงเหลือ 24,979,000 บาท
นำไปใช้ของสหกรณ์ 21,000 บาท</t>
  </si>
  <si>
    <t>PO แล้ว</t>
  </si>
  <si>
    <t>ข้อมูล 12- 09 - 68</t>
  </si>
  <si>
    <t>หลังโอนเปลี่ยนแปลง เมื่อวันที่ 11 กย 68</t>
  </si>
  <si>
    <t>งบประมาณที่ได้รับจัดสรรตาม พ.ร.บ. (บาท)
หลังโอนเปลี่ยนแปลงเมื่อ 11 กย 68</t>
  </si>
  <si>
    <r>
      <t xml:space="preserve">งบครมสัญจร 2568 (กรอบวงเงินกลุ่มจังหวัด) 
</t>
    </r>
    <r>
      <rPr>
        <sz val="14"/>
        <rFont val="TH Niramit AS"/>
      </rPr>
      <t xml:space="preserve"> - </t>
    </r>
    <r>
      <rPr>
        <sz val="12"/>
        <rFont val="TH Niramit AS"/>
      </rPr>
      <t>โครงการส่งเสริมการท่องเที่ยวชุมชนพื้นที่มรดกโลกลุ่มน้ำทะเลสาบสงขลา
    (นครศรีธรรมราช พัทลุง สงขลา)</t>
    </r>
  </si>
  <si>
    <t xml:space="preserve">                                  แบบรายงานผลการดำเนินงานตามแผนปฏิบัติราชการประจำปีงบประมาณ พ.ศ. 2568 ของจังหวัดพัทลุง</t>
  </si>
  <si>
    <t>โครงการตามแผนปฏิบัติราชการประจำปี งบประมาณ พ.ศ. 2567 
(กันไว้เบิกเหลื่อมปี)</t>
  </si>
  <si>
    <r>
      <t xml:space="preserve">โครงการตามแผนปฏิบัติราชการประจำปี งบประมาณ พ.ศ. 2568
</t>
    </r>
    <r>
      <rPr>
        <b/>
        <sz val="12"/>
        <rFont val="TH SarabunPSK"/>
        <family val="2"/>
      </rPr>
      <t xml:space="preserve">จำนวน 19 โครงการ งบประมาณรวม 219,926,100 บาท  แบ่งเป็น 
- งบดำเนินงาน (9 โครงการ) 	                38,563,000 บาท (17.53 %) 
- งบลงทุน (10 โครงการ) 11 รายการ	     181,363,100 บาท   (82.47 %)  </t>
    </r>
  </si>
  <si>
    <r>
      <t xml:space="preserve">โครงการตามแผนปฏิบัติราชการประจำปี งบประมาณ พ.ศ. 2568
จำนวน 5 โครงการ งบประมาณรวม 57,420,216 บาท  แบ่งเป็น 
</t>
    </r>
    <r>
      <rPr>
        <b/>
        <sz val="12"/>
        <rFont val="TH SarabunPSK"/>
        <family val="2"/>
      </rPr>
      <t xml:space="preserve">- งบดำเนินงาน (4 โครงการ)      7,200,216 บาท (12.54 %) 
- งบลงทุน (1 โครงการ)         50,000,100 บาท   (87.08 %)  </t>
    </r>
  </si>
  <si>
    <t xml:space="preserve">งบกลาง รองนายกรัฐมนตรี 2568 (นายพีระพันธุ์)
  </t>
  </si>
  <si>
    <t>สนง.พัฒนาชุมชน
 จ.พัทลุง</t>
  </si>
  <si>
    <t>ปรับปรุงถนนคอนกรีต สายบ้านโคกคีรี-บ้านควนปอม ตำบลตำนาน อำเภอเมือง จังหวัดพัทลุง
 (ช่วงที่ 2)</t>
  </si>
  <si>
    <t xml:space="preserve">ส่วนราชการส่งเอกสารกันเงินแล้ว 13 รายการ งบประมาณ 69,810,852 บาท (31.74 %)
</t>
  </si>
  <si>
    <r>
      <t xml:space="preserve">ประกาศผู้ชนะ 19 กย.68
รออุทธรณ์ 7 วันทำการ (ครบกำหนด 30 กย 68)
</t>
    </r>
    <r>
      <rPr>
        <b/>
        <sz val="16"/>
        <color rgb="FFFF0000"/>
        <rFont val="TH Niramit AS"/>
      </rPr>
      <t>หมายเหตุ กันเงินแบบ CX แล้ว</t>
    </r>
  </si>
  <si>
    <t xml:space="preserve">สนง. พช. เปลี่ยนแปลงรายละเอียด งปม. ตามที่ สงป.อนุมัติ  
(ปรับลดลง 77,000 บาท) (เสนอขอไป  10,818,400 บาท)
 ส่งกลุ่มจังหวัดอนุมัติโครงการฯ (
</t>
  </si>
  <si>
    <t>- พัฒนาศักยภาพการผลิตสินค้าเกษตรปลอดภัย  
   จังหวัดพัทลุง</t>
  </si>
  <si>
    <r>
      <rPr>
        <b/>
        <sz val="12"/>
        <rFont val="TH Niramit AS"/>
      </rPr>
      <t>อยู่ระหว่างเสนอร่าง TOR  + ประกาศร่าง TOR  ( วันที่ 23 กย 68)</t>
    </r>
    <r>
      <rPr>
        <sz val="12"/>
        <rFont val="TH Niramit AS"/>
      </rPr>
      <t xml:space="preserve">
    - เผยแพร่ร่างประกาศและร่างเอกสารประกวดราคาบนเว็บไซต์กรมบัญชีกลาง เพื่อเปิดรับฟังความคิดเห็นจากผู้มีส่วนได้เสียเป็นเวลาติดต่อกันไม่น้อยกว่า 3 วันทำการ ร (ครบ 26 ก.ย. 68)
  - คาดว่าจะเผยแพร่ประกาศและเอกสารเชิญชวน 
    วันที่ 29 กันยายน 2568</t>
    </r>
  </si>
  <si>
    <r>
      <rPr>
        <b/>
        <sz val="16"/>
        <rFont val="TH Niramit AS"/>
      </rPr>
      <t>งบครมสัญจร 2568 (กรอบวงเงินจังหวัด)</t>
    </r>
    <r>
      <rPr>
        <sz val="12"/>
        <rFont val="TH Niramit AS"/>
      </rPr>
      <t xml:space="preserve">
1. โครงการก่อสร้างเขื่อนป้องกันตลิ่งริมคลองปรางหมู่ พร้อมปรับปรุงภูมิทัศน์ ความยาวรวม 
   360.00 เมตร บ้านป่ายาง หมู่ที่ 7 ตำบลปรางหมู่ อำเภอเมืองพัทลุง จังหวัดพัทลุง 
</t>
    </r>
    <r>
      <rPr>
        <b/>
        <sz val="12"/>
        <rFont val="TH Niramit AS"/>
      </rPr>
      <t xml:space="preserve">   (งปม. 29,600,000 บาท)</t>
    </r>
    <r>
      <rPr>
        <sz val="12"/>
        <rFont val="TH Niramit AS"/>
      </rPr>
      <t xml:space="preserve">
2. โครงการก่อสร้างเขื่อนป้องกันตลิ่งริมคลองเตราะ (ฝั่งทิศใต้) พร้อมปรับปรุงภูมิทัศน์ 
   ความยาวรวม 210 เมตร บ้านอ้าย หมู่ที่ 2 ตำบลชัยบุรี อำเภอเมืองพัทลุง จังหวัดพัทลุง 
   (</t>
    </r>
    <r>
      <rPr>
        <b/>
        <sz val="12"/>
        <rFont val="TH Niramit AS"/>
      </rPr>
      <t>งปม. 20,396,500 บาท)</t>
    </r>
  </si>
  <si>
    <r>
      <t xml:space="preserve">งบแก้ไขปัญหาความเดือดร้อน 2568 (กรอบวงเงิน ผู้ตรวจ มท.)
</t>
    </r>
    <r>
      <rPr>
        <sz val="12"/>
        <rFont val="TH Niramit AS"/>
      </rPr>
      <t>1.โครงการขุดลอกคลองส่งน้ำสายหนองบัว – หนองหัวคน หมู่ที่ 3 ตำบลหานโพธิ์ 
   อำเภอเขาชัยสน จังหวัดพัทลุง (จัดสรร งปม 248,900 บ.)
 2.โครงการขุดลอกคูน้ำสาธารณประโยชน์ สายบ้านทอนโดน หมู่ที่ 9 - บ้านใหญ่ 
   หมู่ที่ ๕ และบ้านแหลมดิน หมู่ที่ ๖ ตำบลหานโพธิ์ อำเภอเขาชัยสน จังหวัดพัทลุง</t>
    </r>
    <r>
      <rPr>
        <b/>
        <sz val="16"/>
        <rFont val="TH SarabunPSK"/>
        <family val="2"/>
      </rPr>
      <t xml:space="preserve">
</t>
    </r>
    <r>
      <rPr>
        <sz val="12"/>
        <rFont val="TH Niramit AS"/>
      </rPr>
      <t xml:space="preserve">  (จัดสรร งปม 191,800 บ.)</t>
    </r>
  </si>
  <si>
    <t xml:space="preserve">คืนเงินเหลือจ่าย มท.แล้ว (9,800 บาท)
</t>
  </si>
  <si>
    <t xml:space="preserve">ก่อสร้างเขื่อนป้องกันตลิ่งริมคลองหานโพธิ์ ความยาว 325 เมตร 
บ้านควนสามโพธิ์ หมู่ที่ 5 ตำบลควนขนุน อำเภอเขาชัยสน จังหวัดพัทลุง </t>
  </si>
  <si>
    <t>2 กิจกรรมย่อย  
ดำเนินการและเบิกจ่ายแล้วเสร็จ</t>
  </si>
  <si>
    <r>
      <rPr>
        <b/>
        <u/>
        <sz val="16"/>
        <rFont val="TH Niramit AS"/>
      </rPr>
      <t>ความคืบหน้า</t>
    </r>
    <r>
      <rPr>
        <sz val="16"/>
        <rFont val="TH Niramit AS"/>
      </rPr>
      <t xml:space="preserve">
</t>
    </r>
    <r>
      <rPr>
        <b/>
        <sz val="16"/>
        <rFont val="TH Niramit AS"/>
      </rPr>
      <t>1. ห้องเย็นสำเร็จรูปเก็บผลไม้พร้อมอุปกรณ์ ขนาด 2.4x4.8x2.4 เมตร พร้อมติดตั้ง 
จำนวน 1 ชุด  (จำนวน 3 ห้อง)</t>
    </r>
    <r>
      <rPr>
        <sz val="16"/>
        <rFont val="TH Niramit AS"/>
      </rPr>
      <t xml:space="preserve"> ด้วยวิธีประกวดราคาอิเล็กทรอนิกส์ (e-bidding) 
งปม. 1,322,500 บาท 
**</t>
    </r>
    <r>
      <rPr>
        <sz val="16"/>
        <color rgb="FFFF0000"/>
        <rFont val="TH Niramit AS"/>
      </rPr>
      <t xml:space="preserve"> ลงนามในสัญญาเมื่อ 24 ก.พ.68 งปม. 1,320,000 บาท (เบิกจ่ายแล้วเสร็จ)</t>
    </r>
    <r>
      <rPr>
        <sz val="16"/>
        <rFont val="TH Niramit AS"/>
      </rPr>
      <t xml:space="preserve"> 
</t>
    </r>
    <r>
      <rPr>
        <b/>
        <sz val="16"/>
        <rFont val="TH Niramit AS"/>
      </rPr>
      <t xml:space="preserve">2. ติดตั้งหม้อแปลง ไฟฟ้า </t>
    </r>
    <r>
      <rPr>
        <sz val="16"/>
        <rFont val="TH Niramit AS"/>
      </rPr>
      <t xml:space="preserve">
** ลงนามในสัญญาเมื่อ 14 ก.พ.68 งปม. 428,630.21 บาท
** กำหนดส่งมอบ  15 พฤษภาคม 2568 </t>
    </r>
    <r>
      <rPr>
        <sz val="16"/>
        <color rgb="FFFF0000"/>
        <rFont val="TH Niramit AS"/>
      </rPr>
      <t>(เบิกจ่ายแล้วเสร็จ)</t>
    </r>
    <r>
      <rPr>
        <sz val="16"/>
        <rFont val="TH Niramit AS"/>
      </rPr>
      <t xml:space="preserve">
</t>
    </r>
  </si>
  <si>
    <r>
      <rPr>
        <sz val="15"/>
        <rFont val="TH Niramit AS"/>
      </rPr>
      <t>โครงการเพิ่มประสิทธิภาพการผลิตสินค้าเกษตรเพื่อสร้างความสามารถทางการแข่งขัน</t>
    </r>
    <r>
      <rPr>
        <sz val="18"/>
        <rFont val="TH Niramit AS"/>
      </rPr>
      <t xml:space="preserve">
กิจกรรม ลดต้นทุนและเพิ่มประสิทธิภาพการผลิตปาล์มน้ำมันครบวงจร 
</t>
    </r>
    <r>
      <rPr>
        <b/>
        <sz val="18"/>
        <color rgb="FFFF0000"/>
        <rFont val="TH Niramit AS"/>
      </rPr>
      <t>(ต่อยอด)</t>
    </r>
  </si>
  <si>
    <r>
      <t xml:space="preserve">ตามมติ ก.บ.จ. ครั้งที่ 3/2568 ลว.25 กค 68
ลงนามสัญญา  21 สิงหาคม 2568 (งปม. 500,000 บาท)
เริ่มต้นสัญญา 22 สค. 68 สิ้นสุดสัญญา 19 พ.ย. 68  </t>
    </r>
    <r>
      <rPr>
        <b/>
        <sz val="22"/>
        <rFont val="TH Niramit AS"/>
      </rPr>
      <t>(กันเงิน แบบ PO)</t>
    </r>
  </si>
  <si>
    <r>
      <t xml:space="preserve">กำหนดดำเนินการ มิถุนายน - กรกฎาคม 2568 ณ อุทยานแห่งชาติเขาปู่-เขาย่า
รุ่นที่ 1 ระหว่างวันที่ 19 - 21 มิถุนายน 2568 
รุ่นที่ 2 ระหว่างวันที่ 26 - 28 มิถุนายน 2568
รุ่นที่ 3 ระหว่างวันที่ 8 - 10 กรกฎาคม 2568
</t>
    </r>
    <r>
      <rPr>
        <b/>
        <sz val="18"/>
        <rFont val="TH Niramit AS"/>
      </rPr>
      <t>(ดำเนินการและเบิกจ่ายแล้ว 100 %)</t>
    </r>
  </si>
  <si>
    <t>หมวด 1</t>
  </si>
  <si>
    <t>หมวด 2</t>
  </si>
  <si>
    <t>หมวด 3</t>
  </si>
  <si>
    <t>หมวด 4</t>
  </si>
  <si>
    <t>ดำเนินงาน</t>
  </si>
  <si>
    <t>การเบิกจ่าย ลำดับ 35
ของประเทศ</t>
  </si>
  <si>
    <t>(1) งบประมาณที่ได้รับจัดสรรตาม พ.ร.บ.
 (บาท)</t>
  </si>
  <si>
    <t xml:space="preserve">                                                                                        ข้อมูล  ณ วันที่  30 กันยายน  2568</t>
  </si>
  <si>
    <t>โครงการเพิ่มศักยภาพเกษตรกร และสถาบันเกษตรกร 
ด้วยระบบเครือข่าย และเทคโนโลยี</t>
  </si>
  <si>
    <t>งบตก (เบิก)</t>
  </si>
  <si>
    <r>
      <t>ประกอบด้วย 4 กิจกรรมหลัก ได้แก่
1.</t>
    </r>
    <r>
      <rPr>
        <sz val="16"/>
        <rFont val="TH Niramit AS"/>
      </rPr>
      <t>กิจกรรม พัฒนาศักยภาพการผลิตสินค้าเกษตรปลอดภัยจังหวัดพัทลุง งปม.219,900 บาท</t>
    </r>
    <r>
      <rPr>
        <sz val="18"/>
        <rFont val="TH Niramit AS"/>
      </rPr>
      <t xml:space="preserve">
  ดำเนินกิจกรรมแล้วเสร็จ (เบิกจ่าย  219,900 บาท คืนเงิน 7,200 บาท)
2.กิจกรรม ส่งเสริมการใช้ปุ๋ยเพื่อลดต้นทุนการผลิต  งปม.216,700 บาท
 ดำเนินกิจกรรมแล้วเสร็จ (เบิกจ่าย  216,700 บาท )
3.กิจกรรม ส่งเสริมการเพิ่มประสิทธิภาพการทำนาข้าวริมเลสู่การท่องเที่ยวเชิงเกษตร  </t>
    </r>
    <r>
      <rPr>
        <sz val="20"/>
        <rFont val="TH Niramit AS"/>
      </rPr>
      <t xml:space="preserve">
  งปม.210,000 บ. (ดำเนินกิจกรรมแล้วเสร็จ (เบิกจ่าย  210,000 บาท )
</t>
    </r>
    <r>
      <rPr>
        <sz val="18"/>
        <rFont val="TH Niramit AS"/>
      </rPr>
      <t>4.กิจกรรม พัฒนาอาสาสมัครเกษตร งปม.214,300 บาท 
  ดำเนินกิจกรรมแล้วเสร็จ (เบิกจ่าย  214,300 บาท )</t>
    </r>
  </si>
  <si>
    <t>การใช้จ่าย ลำดับ 4
ของประเทศ</t>
  </si>
  <si>
    <r>
      <t xml:space="preserve">                     จังหวัดพัทลุงได้รับการจัดสรรงบประมาณโครงการตามแผนปฏิบัติราชการประจำปีงบประมาณ พ.ศ. 2568 
                                                จำนวน  19 โครงการ งบประมาณรวม 219,926,100 บาท  แบ่งเป็น 
  </t>
    </r>
    <r>
      <rPr>
        <b/>
        <sz val="26"/>
        <color theme="1"/>
        <rFont val="TH Niramit AS"/>
      </rPr>
      <t xml:space="preserve"> หลังโอนเปลี่ยนแปลง </t>
    </r>
    <r>
      <rPr>
        <b/>
        <sz val="36"/>
        <color theme="1"/>
        <rFont val="TH Niramit AS"/>
      </rPr>
      <t xml:space="preserve"> *** (งบดำเนินงาน (9 โครงการ) 38,563,000 บาท (17.53 %) งบลงทุน (10 โครงการ) รายการ 181,363,100 บาท   (82.47 %) 
</t>
    </r>
    <r>
      <rPr>
        <b/>
        <sz val="36"/>
        <color rgb="FFFF0000"/>
        <rFont val="TH Niramit AS"/>
      </rPr>
      <t xml:space="preserve">                                                                  ผลการเบิกจ่ายโครงการฯ (ข้อมูล ณ วันที่ 30 ก.ย. 68) 		
</t>
    </r>
    <r>
      <rPr>
        <b/>
        <sz val="36"/>
        <color theme="1"/>
        <rFont val="TH Niramit AS"/>
      </rPr>
      <t xml:space="preserve">      </t>
    </r>
    <r>
      <rPr>
        <b/>
        <sz val="48"/>
        <color theme="1"/>
        <rFont val="TH Niramit AS"/>
      </rPr>
      <t xml:space="preserve">  </t>
    </r>
    <r>
      <rPr>
        <b/>
        <sz val="36"/>
        <color theme="1"/>
        <rFont val="TH Niramit AS"/>
      </rPr>
      <t>(เบิกจ่ายแล้ว 151,014,701.29 บาท (ร้อยละ 68.67) คงเหลือ 68,819,952 บาท (ร้อยละ 31.29) ตกรายได้แผ่นดิน 91,446.71 (0.04 %)</t>
    </r>
  </si>
  <si>
    <t>ข้อมูลการจัดลำดับ ณ วันที่ 26 กันยายน 2568</t>
  </si>
  <si>
    <t>ตามมติ ก.บ.จ. ครั้งที่ 3/2568 ลว.25 กค 68
ก.1 กิจกรรม พัทลุง ปั่นชมวิว ชิลริมทะเลสาบ (200,000 บาท)  กำหนดจัด 21 กย.68
    (เบิกจ่ายแล้ว 200,000 บาท)
ก.2 กิจกรรม วิ่ง ริมเล ชมวิถี @บางแก้ว (484,000 บาท) 
     ณ บริเวณพื้นที่หาดไข่เต่า วันที่ 6 กย 68 (เบิกจ่ายแล้ว 484,000 บาท)</t>
  </si>
  <si>
    <r>
      <rPr>
        <b/>
        <sz val="20"/>
        <rFont val="TH Niramit AS"/>
      </rPr>
      <t>กิจกรรม (1) งปม. 2,359,000 บาท</t>
    </r>
    <r>
      <rPr>
        <sz val="20"/>
        <rFont val="TH Niramit AS"/>
      </rPr>
      <t xml:space="preserve"> ลงนามในสัญญาเมื่อ 23 ธค.67 
กำหนดจัดงานระหว่างวันที่ 6 - 10 มี.ค. 68
ณ เขาเจียก ต.เขาเจียก อ.เมืองพัทลุง จ.พัทลุง (เบิกจ่ายแล้วเสร็จ)
</t>
    </r>
    <r>
      <rPr>
        <b/>
        <sz val="20"/>
        <rFont val="TH Niramit AS"/>
      </rPr>
      <t>กิจกรรมที่ (2)</t>
    </r>
    <r>
      <rPr>
        <sz val="20"/>
        <rFont val="TH Niramit AS"/>
      </rPr>
      <t xml:space="preserve"> จ้างเหมาดำเนินการจัดทำคำขอสิ่งบ่งชี้ทางภูมิศาสตร์ไทยฯ 
สินค้าจำปาดะทองเลี้ยว </t>
    </r>
  </si>
  <si>
    <t>โครงการ เสริมสร้างอาชีพ และพัฒนาศักยภาพการผลิตสินค้าประมง
สู่ผลิตภัณฑ์แปรรูปมูลค่าสูงแบบครบวงจร</t>
  </si>
  <si>
    <t>สงป.โอนเปลี่ยนแปลงการจัดสรรงบประมาณ เมื่อ 11 กย.68
PO จ้างเหมาจัดงานแสดงสินค้า งปม.500,000 บาท
(ลงนามสัญญา 18 กย. 68 ครบกำหนดสัญญา 17 พ.ย.68)</t>
  </si>
  <si>
    <t>สงป.โอนเปลี่ยนแปลงการจัดสรรงบประมาณ  เมื่อ 11 กย.68
(ดำเนินการและเบิกจ่ายแล้วเสร็จ)</t>
  </si>
  <si>
    <r>
      <t xml:space="preserve">ประกอบด้วย 3 กิจกรรมหลัก ได้แก่
</t>
    </r>
    <r>
      <rPr>
        <b/>
        <sz val="16"/>
        <rFont val="TH Niramit AS"/>
      </rPr>
      <t>ก.1 การท่องเที่ยวชุมชนแบบมีส่วนร่วม งปม.1,073,400 บาท</t>
    </r>
    <r>
      <rPr>
        <sz val="16"/>
        <rFont val="TH Niramit AS"/>
      </rPr>
      <t xml:space="preserve">
    (เบิกจ่ายแล้ว 353,400 บาท คืนเงิน 21,000 บาท </t>
    </r>
    <r>
      <rPr>
        <sz val="16"/>
        <color rgb="FFFF0000"/>
        <rFont val="TH Niramit AS"/>
      </rPr>
      <t xml:space="preserve">คงเหลือ 699,000 บาท </t>
    </r>
    <r>
      <rPr>
        <b/>
        <sz val="16"/>
        <color rgb="FFFF0000"/>
        <rFont val="TH Niramit AS"/>
      </rPr>
      <t>(กันเงินแบบ PO)</t>
    </r>
    <r>
      <rPr>
        <sz val="16"/>
        <color rgb="FFFF0000"/>
        <rFont val="TH Niramit AS"/>
      </rPr>
      <t xml:space="preserve">
  (สัญญา 12/2568 ลงวันที่ 7 กค.68 ระยะเวลา 60 วัน </t>
    </r>
    <r>
      <rPr>
        <b/>
        <sz val="16"/>
        <color theme="7" tint="-0.249977111117893"/>
        <rFont val="TH Niramit AS"/>
      </rPr>
      <t>(8 กค. - 5 กย.68) 
   อยู่ระหว่างดำเนินกิจกรรม (4 ชุมชนๆละ 2 วัน) วันสิ้นสุดกิจกรรมสุดท้ายวันที่ 24-25 กย 68</t>
    </r>
    <r>
      <rPr>
        <sz val="16"/>
        <color rgb="FFFF0000"/>
        <rFont val="TH Niramit AS"/>
      </rPr>
      <t xml:space="preserve">
   ***จ้างเหมาจัดกิจกรรมยกระดับการสร้างประสบการณ์ (ทำเอกสารแนะนำโปรแกรม
การท่องเที่ยว Champ จัดเส้นทางท่องเที่ยวชุมชน 10 โปรแกรม ฯลฯ)  
</t>
    </r>
    <r>
      <rPr>
        <b/>
        <sz val="16"/>
        <rFont val="TH Niramit AS"/>
      </rPr>
      <t>ก.2 Amazing Phatthalung Festival  งปม.3,650,000 บาท</t>
    </r>
    <r>
      <rPr>
        <sz val="16"/>
        <rFont val="TH Niramit AS"/>
      </rPr>
      <t xml:space="preserve">
    (ก่อหนี้ 3,599,000 บาท คืนเงิน 51,000 บาท) </t>
    </r>
    <r>
      <rPr>
        <sz val="16"/>
        <color rgb="FFFF0000"/>
        <rFont val="TH Niramit AS"/>
      </rPr>
      <t>ดำเนินการและเบิกจ่ายแล้วเสร็จ</t>
    </r>
    <r>
      <rPr>
        <sz val="16"/>
        <rFont val="TH Niramit AS"/>
      </rPr>
      <t xml:space="preserve">   
</t>
    </r>
    <r>
      <rPr>
        <b/>
        <sz val="16"/>
        <color theme="1"/>
        <rFont val="TH Niramit AS"/>
      </rPr>
      <t xml:space="preserve">ก.3 ครีเอทีฟ เฟส ในผืนป่า งปม.800,000 บาท 
     </t>
    </r>
    <r>
      <rPr>
        <sz val="16"/>
        <color theme="1"/>
        <rFont val="TH Niramit AS"/>
      </rPr>
      <t xml:space="preserve">(ลงนามสัญญา 790,900 บาท  คืนเงินแล้ว 9,100 บาท)
    (จัดกิจกรรม ระหว่างวันที่ 27 - 31 สค.68 ณ บริเวณสำนักงานเทศบาลตำบลบ้านนา 
     อ.ศรีนครินทร์ จ.พัทลุง) เบิกจ่ายแล้วเสร็จ
   </t>
    </r>
  </si>
  <si>
    <r>
      <rPr>
        <b/>
        <sz val="16"/>
        <rFont val="TH Niramit AS"/>
      </rPr>
      <t>2 กิจกรรมหลัก ดังนี้</t>
    </r>
    <r>
      <rPr>
        <sz val="16"/>
        <rFont val="TH Niramit AS"/>
      </rPr>
      <t xml:space="preserve">
</t>
    </r>
    <r>
      <rPr>
        <b/>
        <sz val="16"/>
        <rFont val="TH Niramit AS"/>
      </rPr>
      <t>ก.1 ส่งเสริมการท่องเที่ยวด้านศาสนา ศิลปะและวัฒนธรรม งปม.3,886,000 บ. 
    (</t>
    </r>
    <r>
      <rPr>
        <sz val="16"/>
        <rFont val="TH Niramit AS"/>
      </rPr>
      <t>4 กิจกรรมย่อย) ดังนี้</t>
    </r>
    <r>
      <rPr>
        <b/>
        <sz val="16"/>
        <rFont val="TH Niramit AS"/>
      </rPr>
      <t xml:space="preserve">
   1.1 พิธีกรรมโนราโรงครูท่าแค (486,000 บาท) </t>
    </r>
    <r>
      <rPr>
        <sz val="16"/>
        <rFont val="TH Niramit AS"/>
      </rPr>
      <t>เบิกจ่ายแล้ว 486,000 บาท (100 %)</t>
    </r>
    <r>
      <rPr>
        <b/>
        <sz val="16"/>
        <rFont val="TH Niramit AS"/>
      </rPr>
      <t xml:space="preserve">
   1.2</t>
    </r>
    <r>
      <rPr>
        <b/>
        <sz val="16"/>
        <color theme="1"/>
        <rFont val="TH Niramit AS"/>
      </rPr>
      <t xml:space="preserve"> </t>
    </r>
    <r>
      <rPr>
        <b/>
        <sz val="14"/>
        <color theme="1"/>
        <rFont val="TH Niramit AS"/>
      </rPr>
      <t xml:space="preserve">พิธีกรรมไหว้ครูหนังตะลุง งปม.400,000 บาท </t>
    </r>
    <r>
      <rPr>
        <sz val="14"/>
        <color theme="1"/>
        <rFont val="TH Niramit AS"/>
      </rPr>
      <t>เบิกจ่าย  387,000 บาท คืนเงิน 13,000 บา</t>
    </r>
    <r>
      <rPr>
        <sz val="16"/>
        <color theme="1"/>
        <rFont val="TH Niramit AS"/>
      </rPr>
      <t>ท</t>
    </r>
    <r>
      <rPr>
        <b/>
        <sz val="16"/>
        <color theme="1"/>
        <rFont val="TH Niramit AS"/>
      </rPr>
      <t xml:space="preserve">
</t>
    </r>
    <r>
      <rPr>
        <b/>
        <sz val="16"/>
        <rFont val="TH Niramit AS"/>
      </rPr>
      <t xml:space="preserve">   1.3 พิธีสมโภชศาลหลักเมืองพัทลุงกึ่งทศวรรษ งปม.2,500,000 บ.
      </t>
    </r>
    <r>
      <rPr>
        <sz val="16"/>
        <rFont val="TH Niramit AS"/>
      </rPr>
      <t xml:space="preserve"> (จัดกิจกรรมและเบิกจ่ายแล้วเสร็จ 2,450,000 บ. คืนเงิน 50,000 บ.)</t>
    </r>
    <r>
      <rPr>
        <b/>
        <sz val="16"/>
        <rFont val="TH Niramit AS"/>
      </rPr>
      <t xml:space="preserve">
   1.4 พิธีกรรมตามรอยพิธีกรรมสำนักเขาอ้อ งปม.500,000 บาท
    </t>
    </r>
    <r>
      <rPr>
        <sz val="16"/>
        <rFont val="TH Niramit AS"/>
      </rPr>
      <t xml:space="preserve">   (จัดกิจกรรมและเบิกจ่ายแล้วเสร็จ 500,000 บาท)</t>
    </r>
    <r>
      <rPr>
        <b/>
        <sz val="16"/>
        <rFont val="TH Niramit AS"/>
      </rPr>
      <t xml:space="preserve">
</t>
    </r>
    <r>
      <rPr>
        <b/>
        <sz val="16"/>
        <color rgb="FFFF0000"/>
        <rFont val="TH Niramit AS"/>
      </rPr>
      <t xml:space="preserve">ก.2 พัฒนาเชื่อมโยงเส้นทางการท่องเที่ยวเชิงวัฒนธรรมสร้างสรรค์ จ.พัทลุง 
      งปม. 1,150,000 บาท (คืนเงิน 2 ครั้ง รวม 44,100 บาท 
     (ครั้งที่ 1 : 35,000 บาท  ครั้งที่ 2 : คืนเงินเพิ่ม 9,100 บาท) 
     </t>
    </r>
    <r>
      <rPr>
        <sz val="16"/>
        <color rgb="FFFF0000"/>
        <rFont val="TH Niramit AS"/>
      </rPr>
      <t xml:space="preserve">(เบิกจ่ายแล้ว 984,900 บาท </t>
    </r>
    <r>
      <rPr>
        <b/>
        <sz val="16"/>
        <rFont val="TH Niramit AS"/>
      </rPr>
      <t>คงเหลือ  121,000 บาท)</t>
    </r>
    <r>
      <rPr>
        <sz val="16"/>
        <rFont val="TH Niramit AS"/>
      </rPr>
      <t xml:space="preserve">
   </t>
    </r>
  </si>
  <si>
    <t>ข้อมูล ณ วันที่ 30 กย 68</t>
  </si>
  <si>
    <t>1,691,760.33
(แก้ไขสัญญาเพิ่มเติม
โดยการปรับลดเนื้องาน ทำให้วงเงินค่างานตามสัญญาลดลงเนื่องจาก กรรมสิทธิ์ที่ดิน)</t>
  </si>
  <si>
    <r>
      <t xml:space="preserve">เริ่มต้นสัญญา 26 ก.พ. 68 สิ้นสุดสัญญา 23 ก.ย. 68
(หจก.สาธิตธุรกิจก่อสร้าง (จ.ยะลา)) (26  งวดงาน) 
</t>
    </r>
    <r>
      <rPr>
        <b/>
        <sz val="20"/>
        <color rgb="FFFF0000"/>
        <rFont val="TH Niramit AS"/>
      </rPr>
      <t>ความคืบหน้า  : 90.55 %</t>
    </r>
    <r>
      <rPr>
        <b/>
        <sz val="20"/>
        <rFont val="TH Niramit AS"/>
      </rPr>
      <t xml:space="preserve">  </t>
    </r>
  </si>
  <si>
    <t>มติ กบจ ครั้งที่ 4/2568   ลว. 26 สิงหาคม 2568
ดำเนินการและเบิกจ่ายแล้วเสร็จ</t>
  </si>
  <si>
    <t>ซ่อมสร้างถนนแอสฟัลท์ติกคอนกรีต รหัสทางหลวงท้องถิ่น พท.ถ. 41 - 047 สายทางบ้านหารเทา - 
โคกเหล็ก - ม่วงทวน หมู่ที่ 11,3 ตำบลหารเทา 
อำเภอปากพะยูน จ.พัทลุง</t>
  </si>
  <si>
    <t>สนง.พัฒนาชุมชน
จ.พัทลุง</t>
  </si>
  <si>
    <t>ก่อสร้างเขื่อนป้องกันตลิ่งริมคลองอ้ายใหญ่ บ้านอ้าย 
หมู่ที่ 2 ตำบลชัยบุรี อำเภอเมืองจังหวัดพัทลุง 
ความยาว 250 เมตร</t>
  </si>
  <si>
    <t>จ้างเหมาจัดกิจกรรมยกระดับการสร้างประสบการณ์ท่องเที่ยวเชิงสร้างสรรค์บนทุนวัฒนธรรมและวิถีชีวิต (e-bidding) ณ ม.3 ต.ลานข่อย อ.ป่าพะยอม ม.5 ต.หนองธง 
อ.ป่าบอน ม.8 ต.เขาปู่ อ.ศรีบรรพต ม.9 ต.ลำสินธุ์ อ.ศรีนครินทร์ 
ลงนาม 699,000 บาท  ( PO แล้ว ) จัดกิจกรรมแล้วเสร็จเมื่อวันที่ 25 ก.ย.68
อยู่ระหว่างรวบรวมเอกสารประกอบการเบิกจ่าย</t>
  </si>
  <si>
    <t>จัดกิจกรรมแล้ว ระหว่างวันที่ 27 - 31 สค.68 ณ บริเวณสำนักงานเทศบาลตำบลบ้านนา 
อ.ศรีนครินทร์ จ.พัทลุง)</t>
  </si>
  <si>
    <t>เบิกจ่ายแล้ว 89,900 บาท คืนเงิน 9,100 บาท
กันเงินแบบ PO 121,000 บาท (จ้างเหมาจัดทำป้ายประชาสัมพันธ์ประจำตำบล  
กำหนดส่งมอบ 31 ต.ค.68</t>
  </si>
  <si>
    <t>ดำเนินการแล้วเสร็จและเบิกจ่ายแล้วเสร็จ</t>
  </si>
  <si>
    <t>จัดกิจกรรมแล้วระหว่าง วันที่ 27 - 29 พฤษภาคม 2568
ณ โรงแรมศิวารอยัล โรงแรมร้อยทองรีสอร์ท และเทศบาลตำบลแม่ขรี อยู่ระหว่างรวบรวมเอกสารประกอบการเบิกจ่ายงบประมาณที่เหลือ 12,600 บาท (ค่าจ้างออกแบบพร้อมพิมพิ์เกียรติบัตร 4,950+ค่าจ้างถ่ายเอกวาร 3,475 บาท+ค่าวัสดุฝึกอบรม 4,175 บาท)</t>
  </si>
  <si>
    <t>- พัฒนาศักยภาพกลุ่มเกษตรกรในการบริหารจัดการน้ำ
ด้วยระบบโซล่าเซลล์สูบน้ำแบบเคลื่อนที่ ขนาดแผง
โซล่าเซลล์ 550 วัตต์</t>
  </si>
  <si>
    <t>เทศบาลตำบล
แหลมโตนด</t>
  </si>
  <si>
    <t xml:space="preserve">ก.1 Phatthalung Sport Tourism งปม.4,300,000 บาท 
   (ก่อหนี้ 4,250,000 บ.คืนเงิน 50,000 บ.) ดำเนินการเบิกจ่ายแล้วเสร็จ 4,244,500 บาท 
</t>
  </si>
  <si>
    <t>กำหนดดำเนินโครงการอนุรักษ์ฟื้นฟูทรัพยากรธรรมชาติสิ่งแวดล้อมทะเลสาบและอนุรักษ์สัตว์ป่าทะเลหายาก ค่ายเยาวชนพิทกักษ์ป่า จำนวน 3 รุ่นๆ ละ  50 คน 
(จัดอบรมแล้วเสร็จ ทั้ง 3 รุ่น) 
รุ่นที่ 1 ดำเนินการ 19 – 21 มิถุนายน 2568
รุ่นที่ 2 ดำเนินการ 26 – 28 มิถุนายน 2568
รุ่นที่ 3 ดำเนินการ 8 – 10 กรกฎาคม  2568
(ดำเนินการและเบิกจ่าย 100 %)</t>
  </si>
  <si>
    <t>อุทยานแห่งชาติ 
เขาปู่-เขาย่า</t>
  </si>
  <si>
    <r>
      <t xml:space="preserve">เริ่มต้นสัญญา 20 ก.พ. 68 สิ้นสุดสัญญา 17 ต.ค. 68
(บ.ว.วัฒนกิจการโยธา จำกัด) (13 งวดงาน)
(เงินเหลือจ่าย 22,000 บาท นำไปต่อยอดโครงการของอุทยานฯ เขาปู่-เขาย่า
</t>
    </r>
    <r>
      <rPr>
        <b/>
        <sz val="20"/>
        <color rgb="FFFF0000"/>
        <rFont val="TH Niramit AS"/>
      </rPr>
      <t>ความคืบหน้า  : 99.52 %</t>
    </r>
    <r>
      <rPr>
        <sz val="20"/>
        <color rgb="FFFF0000"/>
        <rFont val="TH Niramit AS"/>
      </rPr>
      <t xml:space="preserve"> 
</t>
    </r>
    <r>
      <rPr>
        <sz val="20"/>
        <rFont val="TH Niramit AS"/>
      </rPr>
      <t>(แผน  99.52 % เร็วกว่าแผน  0.52 %)</t>
    </r>
  </si>
  <si>
    <r>
      <t xml:space="preserve">เริ่มต้นสัญญา 14  ก.พ. 68 สิ้นสุดสัญญา  10 ธ.ค. 68
(บ. ลูกแก้ววิศวกรรม จำกัด) (จำนวน 12 งวดงาน)
(เงินเหลือจ่าย 100,000 บาท นำไปต่อยอดโครงการของอุทยานฯ เขาปู่-เขาย่า
</t>
    </r>
    <r>
      <rPr>
        <b/>
        <sz val="20"/>
        <color rgb="FFFF0000"/>
        <rFont val="TH Niramit AS"/>
      </rPr>
      <t>ความคืบหน้า  :  75.09 %</t>
    </r>
    <r>
      <rPr>
        <sz val="20"/>
        <color rgb="FFFF0000"/>
        <rFont val="TH Niramit AS"/>
      </rPr>
      <t xml:space="preserve"> </t>
    </r>
    <r>
      <rPr>
        <sz val="18"/>
        <color rgb="FFFF0000"/>
        <rFont val="TH Niramit AS"/>
      </rPr>
      <t xml:space="preserve">
</t>
    </r>
    <r>
      <rPr>
        <sz val="18"/>
        <rFont val="TH Niramit AS"/>
      </rPr>
      <t xml:space="preserve">(แผน  92.60 % ช้ากว่าแผน 17.51 %)
</t>
    </r>
  </si>
  <si>
    <r>
      <t xml:space="preserve"> สัญญาเลขที่ 352/2568 ลงวันที่ 15 พค. 68  (หจก.บิ๊กแลนด์ เอ็นจิเนียลิ่ง)
เริ่มสัญญาวันที่ 16 พ.ค.68 สิ้นสุดสัญญาวันที่ 9 ก.พ. 69 (16 งวดงาน)
</t>
    </r>
    <r>
      <rPr>
        <b/>
        <sz val="20"/>
        <color rgb="FFFF0000"/>
        <rFont val="TH Niramit AS"/>
      </rPr>
      <t xml:space="preserve">ความคืบหน้า  :  73.861 %  </t>
    </r>
    <r>
      <rPr>
        <sz val="20"/>
        <rFont val="TH Niramit AS"/>
      </rPr>
      <t xml:space="preserve">
(แผน 81.082 % ช้ากว่าแผน 7.221 %)</t>
    </r>
  </si>
  <si>
    <r>
      <t xml:space="preserve">เริ่มต้นสัญญา 14  ก.พ.  68 สิ้นสุดสัญญา 10 ธ.ค. 68 
(เงินเหลือจ่าย 190,000 บาท นำไปต่อยอดโครงการของอุทยานฯ เขาปู่-เขาย่า
(บ. ลูกแก้ววิศวกรรม จำกัด)  (จำนวน 12 งวดงาน)
</t>
    </r>
    <r>
      <rPr>
        <b/>
        <sz val="20"/>
        <color rgb="FFFF0000"/>
        <rFont val="TH Niramit AS"/>
      </rPr>
      <t xml:space="preserve">ความคืบหน้า  :  78.88 %  </t>
    </r>
    <r>
      <rPr>
        <sz val="20"/>
        <rFont val="TH Niramit AS"/>
      </rPr>
      <t xml:space="preserve">
(แผน 93.24 % ช้ากว่าแผน 14.36 %)</t>
    </r>
  </si>
  <si>
    <t>จังหวัดพัทลุง  (ข้อมูล ณ วันที่ 30 กันยายน 2568)</t>
  </si>
  <si>
    <t>(5) หมายเหตุ
ผลความก้าวหน้า (ร้อยละ)/รายละเอียดของปัญหาอุปสรรค/การปรับเพิ่มหรือลดงบประมาณ/วันเริ่มต้น-สิ้นสุดสัญญาหรือคาดว่าจะแล้วเสร็จ (กรณีไม่เป็นไปตามสัญญา)/เงินเหลือจ่ายที่ไม่ใช้แล้ว/กรณีต้องกันเงินไว้เบิกเหลื่อมปี 69 
(ให้ระบุวงเงิน/วันที่คาดว่าจะแล้วเสร็จด้วย)</t>
  </si>
  <si>
    <t xml:space="preserve">โครงการก่อสร้างเขื่อนป้องกันตลิ่งริมคลองหานโพธิ์ ความยาว 325 เมตร 
บ้านควนสามโพธิ์ หมู่ที่ 5 ตำบลควนขนุน อำเภอเขาชัยสน จังหวัดพัทลุง </t>
  </si>
  <si>
    <t xml:space="preserve">มติ ก.บ.จ. ครั้งที่ 2 / 2568 
เมื่อวันที่ 10 มีนาคม 2568
</t>
  </si>
  <si>
    <r>
      <t xml:space="preserve">โครงการอนุรักษ์ฟื้นฟูทรัพยากรธรรมชาติสิ่งแวดล้อมทะเลสาบและ
อนุรักษ์สัตว์ป่าทะเลหายาก 
</t>
    </r>
    <r>
      <rPr>
        <b/>
        <sz val="16"/>
        <color theme="1"/>
        <rFont val="TH Sarabun New"/>
        <family val="2"/>
      </rPr>
      <t>กิจกรรมย่อย :</t>
    </r>
    <r>
      <rPr>
        <sz val="16"/>
        <color theme="1"/>
        <rFont val="TH Sarabun New"/>
        <family val="2"/>
      </rPr>
      <t xml:space="preserve"> 
ค่ายเยาวชนพิทักษ์ป่า</t>
    </r>
  </si>
  <si>
    <t>อุทยานเขาปู่ - เขาย่า</t>
  </si>
  <si>
    <t>สำนักงานเกษตรจังหวัดพัทลุง</t>
  </si>
  <si>
    <t>สํานักงานท่องเที่ยวและกีฬาจังหวัดพัทลุง</t>
  </si>
  <si>
    <t xml:space="preserve">โครงการพัฒนาการท่องเที่ยวและการกีฬาแนวใหม่จังหวัดพัทลุง กิจกรรม Phatthalung Sport Tourism (ต่อยอด) 200,000
กิจกรรม 2 :  Hello บางแก้ว วิ่งเล ชมวิถี  484,000
</t>
  </si>
  <si>
    <t xml:space="preserve">มติ ก.บ.จ. ครั้งที่ 3 / 2568 
เมื่อวันที่ 25 กรกฎาคม 2568
</t>
  </si>
  <si>
    <t>โครงการก่อสร้างเขื่อนป้องกันตลิ่งริมคลองอ้ายใหญ่ ความยาว 250 เมตร 
บ้านอ้าย หมู่ที่ 2 ตำบลชัยบุรี อำเภอเมืองพัทลุง จังหวัดพัทลุง</t>
  </si>
  <si>
    <t>โครงการโครงการรักษาความมั่นคงของฐานทรัพยากรธรรมชาติและสิ่งแวดล้อมจังหวัดพัทลุง
'กิจกรรม : อนุรักษ์ฟื้นฟูทรัพยากรธรรมชาติสิ่งแวดล้อมทะเลสาบและอนุรักษ์สัตว์ป่า
ทะเลหายาก</t>
  </si>
  <si>
    <t xml:space="preserve"> เขตห้ามล่าสัตว์ป่าทะเลหลวง</t>
  </si>
  <si>
    <r>
      <t xml:space="preserve">โครงการเพิ่มประสิทธิภาพการผลิตสินค้าเกษตรเพื่อสร้างความสามารถทางการแข่งขัน
</t>
    </r>
    <r>
      <rPr>
        <b/>
        <sz val="16"/>
        <color theme="1"/>
        <rFont val="TH Sarabun New"/>
        <family val="2"/>
      </rPr>
      <t xml:space="preserve">กิจกรรม </t>
    </r>
    <r>
      <rPr>
        <sz val="16"/>
        <color theme="1"/>
        <rFont val="TH Sarabun New"/>
        <family val="2"/>
      </rPr>
      <t>ลดต้นทุนและเพิ่มประสิทธิภาพการผลิตปาล์มน้ำมันครบวงจร (ต่อยอด)</t>
    </r>
  </si>
  <si>
    <t xml:space="preserve"> โครงการเสริมสร้างอาชีพ และพัฒนาศักยภาพการผลิตสินค้าประมงสู่ผลิตภัณฑ์แปรรูปมูลค่าสูงแบบครบวงจร   กิจกรรม : ส่งเสริมตลาดผู้ผลิตพบ  ผู้บริโภค และแลกเปลี่ยนองค์ความรู้ (Y2)     </t>
  </si>
  <si>
    <t>มติ ก.บ.จ. ครั้งที่ 4 / 2568 
เมื่อวันที่ 26 สิงหาคม 2568</t>
  </si>
  <si>
    <t>สำนักงานประมงจังหวัดพัทลุง</t>
  </si>
  <si>
    <t>โครงการเพิ่มศักยภาพเกษตรกร และสถาบันเกษตรกร ด้วยระบบเครือข่ายและเทคโนโลยี</t>
  </si>
  <si>
    <t>สํานักงานสหกรณ์จังหวัดพัทลุง</t>
  </si>
  <si>
    <t>โครงการรณรงค์ป้องกันและแก้ไขปัญหายาเสพติด TO BE NUMBER ONE จังหวัดพัทลุง ปีงบประมาณ 2568   335200</t>
  </si>
  <si>
    <t xml:space="preserve">โครงการยกระดับการท่องเที่ยวเชิงสร้างสรรค์และประชาสัมพันธ์การท่องเที่ยวเพื่อเพิ่มมูลค่า       </t>
  </si>
  <si>
    <t xml:space="preserve">โครงการปรับปรุงถนนคอนกรีต สายบ้านโคกคีรี - บ้านควนปอม ตำบลตำนาน อำเภอเมืองพัทลุง จังหวัดพัทลุง (ช่วงที่ 2) </t>
  </si>
  <si>
    <t>โครงการปรับปรุงถนนลาดยางแอสฟัลต์คอนกรีต สายบ้านลาโย – บ้านหน้าป่า ตำบลบ้านพร้าว อำเภอป่าพะยอม จังหวัดพัทลุง</t>
  </si>
  <si>
    <t>รายงานผลการดำเนินโครงการตามแผนปฏิบัติราชการประจำปีงบประมาณ พ.ศ. 2568 ของจังหวัดพัทลุง</t>
  </si>
  <si>
    <t>งบประมาณที่ได้การจัดสรร (บาท)</t>
  </si>
  <si>
    <t xml:space="preserve">รายจ่ายประจำ 
(งบดำเนินงาน/
รายจ่ายอื่น) </t>
  </si>
  <si>
    <t xml:space="preserve">งบลงทุน
</t>
  </si>
  <si>
    <t xml:space="preserve">รวม
</t>
  </si>
  <si>
    <t>(4) ผลการเบิกจ่าย (บาท)</t>
  </si>
  <si>
    <r>
      <rPr>
        <b/>
        <u/>
        <sz val="16"/>
        <rFont val="TH SarabunPSK"/>
        <family val="2"/>
      </rPr>
      <t>ความคืบหน้า</t>
    </r>
    <r>
      <rPr>
        <sz val="16"/>
        <rFont val="TH SarabunPSK"/>
        <family val="2"/>
      </rPr>
      <t xml:space="preserve">
</t>
    </r>
    <r>
      <rPr>
        <b/>
        <sz val="16"/>
        <rFont val="TH SarabunPSK"/>
        <family val="2"/>
      </rPr>
      <t xml:space="preserve">1. ห้องเย็นสำเร็จรูปเก็บผลไม้พร้อมอุปกรณ์ ขนาด 2.4x4.8x2.4 เมตร พร้อมติดตั้ง 
   จำนวน 1 ชุด  (จำนวน 3 ห้อง) </t>
    </r>
    <r>
      <rPr>
        <sz val="16"/>
        <rFont val="TH SarabunPSK"/>
        <family val="2"/>
      </rPr>
      <t xml:space="preserve">ด้วยวิธีประกวดราคาอิเล็กทรอนิกส์ (e-bidding) 
   งปม. 1,322,500 บาท 
** ลงนามในสัญญาเมื่อ 24 ก.พ.68 งปม. 1,320,000 บาท  </t>
    </r>
    <r>
      <rPr>
        <sz val="16"/>
        <color rgb="FFFF0000"/>
        <rFont val="TH SarabunPSK"/>
        <family val="2"/>
      </rPr>
      <t xml:space="preserve">(เบิกจ่ายแล้วเสร็จ 100 %)
</t>
    </r>
    <r>
      <rPr>
        <sz val="16"/>
        <rFont val="TH SarabunPSK"/>
        <family val="2"/>
      </rPr>
      <t xml:space="preserve">
</t>
    </r>
    <r>
      <rPr>
        <b/>
        <sz val="16"/>
        <rFont val="TH SarabunPSK"/>
        <family val="2"/>
      </rPr>
      <t xml:space="preserve">2. ติดตั้งหม้อแปลง ไฟฟ้า </t>
    </r>
    <r>
      <rPr>
        <sz val="16"/>
        <rFont val="TH SarabunPSK"/>
        <family val="2"/>
      </rPr>
      <t xml:space="preserve">
** ลงนามในสัญญาเมื่อ 14 ก.พ.68 งปม. 428,630.21 บาท
** กำหนดส่งมอบ  15 พฤษภาคม 2568 </t>
    </r>
    <r>
      <rPr>
        <sz val="16"/>
        <color rgb="FFFF0000"/>
        <rFont val="TH SarabunPSK"/>
        <family val="2"/>
      </rPr>
      <t>(เบิกจ่ายแล้วเสร็จ 100 %)</t>
    </r>
  </si>
  <si>
    <r>
      <t xml:space="preserve">ลงนามในสัญญาเมื่อ 23 ธค.67  กำหนดจัดงานระหว่างวันที่ 6 - 10 มี.ค. 68
ณ เขาเจียก ต.เขาเจียก อ.เมืองพัทลุง จ.พัทลุง 
</t>
    </r>
    <r>
      <rPr>
        <b/>
        <sz val="16"/>
        <color rgb="FFFF0000"/>
        <rFont val="TH SarabunPSK"/>
        <family val="2"/>
      </rPr>
      <t>เดิม งปม. 2,500,000  บาท</t>
    </r>
    <r>
      <rPr>
        <sz val="16"/>
        <rFont val="TH SarabunPSK"/>
        <family val="2"/>
      </rPr>
      <t xml:space="preserve">
(เบิกจ่ายแล้ว  2,359,000 บาท คืนเงิน 141,000 บาท) 
(นำไปต่อยอด 2 ครั้ง รวม 139,000 บาท คือ  71,200 บาท และ 65,800 บาท)</t>
    </r>
  </si>
  <si>
    <r>
      <t xml:space="preserve">กำหนดจัดกิจกรรมเดือนพฤษภาคม - กันยายน 2568 
</t>
    </r>
    <r>
      <rPr>
        <sz val="16"/>
        <color rgb="FFFF0000"/>
        <rFont val="TH SarabunPSK"/>
        <family val="2"/>
      </rPr>
      <t xml:space="preserve">(จ้างเหมาดำเนินการจัดทำคำขอสิ่งบ่งชี้ทางภูมิศาสตร์ไทยฯ สินค้าจำปาดะทองเลี้ยว 
ซึ่งจำเป็นต้องลงพื้นที่รวบรวมข้อมูลเชิงลึกเกี่ยวกับสินค้า เพื่อจัดทำคำขอขึ้นทะเบียน
เป็นสิ่งบ่งชี้ทางภูมิศาสตร์) (ผู้รับจ้างอยู่ระหว่างดำเนินงานตามขอบเขตงานจ้าง TOR)
</t>
    </r>
    <r>
      <rPr>
        <b/>
        <sz val="16"/>
        <color rgb="FFFF0000"/>
        <rFont val="TH SarabunPSK"/>
        <family val="2"/>
      </rPr>
      <t>(เบิกจ่ายแล้ว)</t>
    </r>
  </si>
  <si>
    <r>
      <t xml:space="preserve">(แจ้งคืนเงินเหลือจ่าย 9,000 บ.)
เริ่มต้นสัญญา 6 กพ. 68  สิ้นสุดสัญญา 5 กค. 68
</t>
    </r>
    <r>
      <rPr>
        <b/>
        <sz val="16"/>
        <color theme="1"/>
        <rFont val="TH SarabunPSK"/>
        <family val="2"/>
      </rPr>
      <t>ความคืบหน้า : ดำเนินการและเบิกจ่ายแล้วเสร็จ 100 %</t>
    </r>
  </si>
  <si>
    <t>- ส่งเสริมการเพิ่มประสิทธิภาพการทำนาข้าวริมเล
   สู่การท่องเที่ยวเชิงเกษตร</t>
  </si>
  <si>
    <r>
      <rPr>
        <b/>
        <u/>
        <sz val="16"/>
        <rFont val="TH SarabunPSK"/>
        <family val="2"/>
      </rPr>
      <t xml:space="preserve"> - งบลงทุน</t>
    </r>
    <r>
      <rPr>
        <sz val="16"/>
        <rFont val="TH SarabunPSK"/>
        <family val="2"/>
      </rPr>
      <t xml:space="preserve"> เครื่องสีข้าวขาวและข้าวกล้อง จ.พัทลุง     
(10 เครื่อง) งปม 495,000 บาท เบิกจ่ายแล้วเสร็จ
</t>
    </r>
    <r>
      <rPr>
        <b/>
        <u/>
        <sz val="16"/>
        <rFont val="TH SarabunPSK"/>
        <family val="2"/>
      </rPr>
      <t>- งบดำเนินงาน</t>
    </r>
    <r>
      <rPr>
        <sz val="16"/>
        <rFont val="TH SarabunPSK"/>
        <family val="2"/>
      </rPr>
      <t xml:space="preserve"> (อบรม วัสดุการเกษตร) งปม. 422,900 บาท 
กำหนดจัดอบรมเดือนกรกฎาคม 2568 (ช่วงฤดูกาลทำนา)
</t>
    </r>
  </si>
  <si>
    <r>
      <t xml:space="preserve">ลงนามสัญญาจ้าง 9,988,000 บาท (มีเหลือจ่าย 6,000 บ.)
เริ่มต้นสัญญา 25 ธันวาคม 2567 สิ้นสุดสัญญา 24 เมษายน 2568
</t>
    </r>
    <r>
      <rPr>
        <b/>
        <sz val="16"/>
        <rFont val="TH SarabunPSK"/>
        <family val="2"/>
      </rPr>
      <t>ดำเนินการและเบิกจ่ายแล้วเสร็จ</t>
    </r>
  </si>
  <si>
    <r>
      <t>โครงการเพิ่มประสิทธิภาพการผลิตสินค้าเกษตร
เพื่อสร้างความสามารถทางการแข่งขัน
กิจกรรม</t>
    </r>
    <r>
      <rPr>
        <sz val="16"/>
        <rFont val="TH SarabunPSK"/>
        <family val="2"/>
      </rPr>
      <t xml:space="preserve"> ลดต้นทุนและเพิ่มประสิทธิภาพการผลิตปาล์มน้ำมันครบวงจร</t>
    </r>
    <r>
      <rPr>
        <b/>
        <sz val="16"/>
        <rFont val="TH SarabunPSK"/>
        <family val="2"/>
      </rPr>
      <t xml:space="preserve"> (ต่อยอด)</t>
    </r>
  </si>
  <si>
    <r>
      <t xml:space="preserve">โครงการ เสริมสร้างอาชีพ และพัฒนาศักยภาพการผลิตสินค้าประมงสู่ตลาดอย่างยั่งยืน  </t>
    </r>
    <r>
      <rPr>
        <b/>
        <sz val="16"/>
        <rFont val="TH SarabunPSK"/>
        <family val="2"/>
      </rPr>
      <t>(เหลือจ่าย)</t>
    </r>
  </si>
  <si>
    <r>
      <t xml:space="preserve">มติ กบจ ครั้งที่ 4/2568   ลว. 26 สิงหาคม 2568
ยืมเงิน  18,000 บาท  (18 กย.68)
</t>
    </r>
    <r>
      <rPr>
        <b/>
        <sz val="16"/>
        <rFont val="TH SarabunPSK"/>
        <family val="2"/>
      </rPr>
      <t>PO แล้ว 500,000 บาท (จ้างเหมาจัดงานแสดงสินค้า ครบกำหนดสัญญา 17 พย 68)</t>
    </r>
    <r>
      <rPr>
        <sz val="16"/>
        <rFont val="TH SarabunPSK"/>
        <family val="2"/>
      </rPr>
      <t xml:space="preserve">
</t>
    </r>
  </si>
  <si>
    <r>
      <t xml:space="preserve">โครงการเพิ่มศักยภาพเกษตรกร และสถาบันเกษตรกร ด้วยระบบเครือข่ายและเทคโนโลยี </t>
    </r>
    <r>
      <rPr>
        <b/>
        <sz val="16"/>
        <rFont val="TH SarabunPSK"/>
        <family val="2"/>
      </rPr>
      <t>(เหลือจ่าย)</t>
    </r>
  </si>
  <si>
    <r>
      <t xml:space="preserve">จัดกิจกรรมแล้วเสร็จ เมื่อ 26- 30 พ.ย. 67
</t>
    </r>
    <r>
      <rPr>
        <b/>
        <sz val="16"/>
        <rFont val="TH SarabunPSK"/>
        <family val="2"/>
      </rPr>
      <t>ดำเนินการและเบิกจ่ายแล้ว  100 %</t>
    </r>
    <r>
      <rPr>
        <sz val="16"/>
        <rFont val="TH SarabunPSK"/>
        <family val="2"/>
      </rPr>
      <t xml:space="preserve"> (เงินเหลือจ่าย 50,000 บาท) ส่งคืนแล้ว</t>
    </r>
  </si>
  <si>
    <r>
      <t xml:space="preserve">กำหนดจัดกิจกรรม ระหว่างวันที่ 3 - 5 กพ. 68
ณ วัดเขาอ้อ ต.มะกอกเหนือ อ.ควนขนุน จ.พัทลุง 
</t>
    </r>
    <r>
      <rPr>
        <b/>
        <sz val="16"/>
        <rFont val="TH SarabunPSK"/>
        <family val="2"/>
      </rPr>
      <t>ดำเนินการแล้วเสร็จและเบิกจ่ายร้อยละ 100</t>
    </r>
  </si>
  <si>
    <r>
      <t xml:space="preserve">เริ่มต้นสัญญา 26 ก.พ. 68 สิ้นสุดสัญญา 23 ก.ย. 68
(หจก.สาธิตธุรกิจก่อสร้าง (จ.ยะลา)) (26  งวดงาน)
</t>
    </r>
    <r>
      <rPr>
        <b/>
        <sz val="16"/>
        <color rgb="FFFF0000"/>
        <rFont val="TH SarabunPSK"/>
        <family val="2"/>
      </rPr>
      <t xml:space="preserve">ความคืบหน้า  : 90.55 % </t>
    </r>
    <r>
      <rPr>
        <sz val="16"/>
        <rFont val="TH SarabunPSK"/>
        <family val="2"/>
      </rPr>
      <t xml:space="preserve"> </t>
    </r>
    <r>
      <rPr>
        <b/>
        <sz val="16"/>
        <color rgb="FFFF0000"/>
        <rFont val="TH SarabunPSK"/>
        <family val="2"/>
      </rPr>
      <t>(กันเงินแบบ PO)</t>
    </r>
  </si>
  <si>
    <r>
      <t>โครงการพัฒนาการท่องเที่ยวและการกีฬาแนวใหม่
จังหวัดพัทลุง
กิจกรรม Phatthalung Sport Tourism</t>
    </r>
    <r>
      <rPr>
        <sz val="16"/>
        <color rgb="FFFF0000"/>
        <rFont val="TH SarabunPSK"/>
        <family val="2"/>
      </rPr>
      <t xml:space="preserve"> (ต่อยอด)</t>
    </r>
    <r>
      <rPr>
        <sz val="16"/>
        <rFont val="TH SarabunPSK"/>
        <family val="2"/>
      </rPr>
      <t xml:space="preserve">
</t>
    </r>
    <r>
      <rPr>
        <b/>
        <sz val="16"/>
        <rFont val="TH SarabunPSK"/>
        <family val="2"/>
      </rPr>
      <t>มติ ก.บ.จ. ครั้งที่ 3/2568 ลว.25 กค 68</t>
    </r>
  </si>
  <si>
    <r>
      <t xml:space="preserve">ก.1 กิจกรรม พัทลุง ปั่นชมวิว ชิลริมทะเลสาบ (200,000 บาท) 
     จัดกิจกรรมเมื่อ 21 กย.68  </t>
    </r>
    <r>
      <rPr>
        <b/>
        <sz val="16"/>
        <rFont val="TH SarabunPSK"/>
        <family val="2"/>
      </rPr>
      <t>(เบิกแล้ว  200,000 บาท)</t>
    </r>
    <r>
      <rPr>
        <sz val="16"/>
        <rFont val="TH SarabunPSK"/>
        <family val="2"/>
      </rPr>
      <t xml:space="preserve">
ก.2 กิจกรรม วิ่ง ริมเล ชมวิถี @บางแก้ว (484,000 บาท) 
     ณ บริเวณพื้นที่หาดไข่เต่า วันที่ 6 กย 68 </t>
    </r>
    <r>
      <rPr>
        <b/>
        <sz val="16"/>
        <rFont val="TH SarabunPSK"/>
        <family val="2"/>
      </rPr>
      <t xml:space="preserve"> (เบิกแล้ว  484,000 บาท)</t>
    </r>
  </si>
  <si>
    <r>
      <rPr>
        <b/>
        <sz val="16"/>
        <rFont val="TH SarabunPSK"/>
        <family val="2"/>
      </rPr>
      <t>ความคืบหน้า</t>
    </r>
    <r>
      <rPr>
        <sz val="16"/>
        <rFont val="TH SarabunPSK"/>
        <family val="2"/>
      </rPr>
      <t xml:space="preserve">
-สัญญาเลขที่ 227/2568 ลงวันที่ 13 ก.พ.68 
เริ่มสัญญาวันที่ 14 ก.พ.68 สิ้นสุดสัญญาวันที่ 10 ธ.ค.68  (300 วัน) (12  งวดงาน)
</t>
    </r>
    <r>
      <rPr>
        <b/>
        <sz val="16"/>
        <color rgb="FFFF0000"/>
        <rFont val="TH SarabunPSK"/>
        <family val="2"/>
      </rPr>
      <t>ความคืบหน้างาน   78.88 %  (กันเงินแบบ PO)</t>
    </r>
    <r>
      <rPr>
        <b/>
        <sz val="16"/>
        <rFont val="TH SarabunPSK"/>
        <family val="2"/>
      </rPr>
      <t xml:space="preserve">
</t>
    </r>
    <r>
      <rPr>
        <sz val="16"/>
        <rFont val="TH SarabunPSK"/>
        <family val="2"/>
      </rPr>
      <t xml:space="preserve">
</t>
    </r>
  </si>
  <si>
    <r>
      <t xml:space="preserve">(ได้ประกาศยกเลิกครั้งที่ 1 และประกาศจัดจ้างใหม่) 
ลงนามเมื่อ วันที่ 15 พ.ค. 68  งปม.25,390,000 บาท เหลือจ่าย 1,010,000 บ.
เริ่มสัญญาวันที่ 16 พ.ค. 68  สิ้นสุดสัญญาจ้าง วันที่ 9 ก.พ. 69 (16 งวดงาน)
</t>
    </r>
    <r>
      <rPr>
        <b/>
        <sz val="16"/>
        <color rgb="FFFF0000"/>
        <rFont val="TH SarabunPSK"/>
        <family val="2"/>
      </rPr>
      <t>ความคืบหน้างาน  73.861 % (กันเงินแบบ PO)</t>
    </r>
    <r>
      <rPr>
        <sz val="16"/>
        <rFont val="TH SarabunPSK"/>
        <family val="2"/>
      </rPr>
      <t xml:space="preserve">
</t>
    </r>
  </si>
  <si>
    <r>
      <rPr>
        <b/>
        <u/>
        <sz val="16"/>
        <rFont val="TH SarabunPSK"/>
        <family val="2"/>
      </rPr>
      <t>ความคืบหน้า</t>
    </r>
    <r>
      <rPr>
        <sz val="16"/>
        <rFont val="TH SarabunPSK"/>
        <family val="2"/>
      </rPr>
      <t xml:space="preserve">
สัญญาเลขที่ 232/2568 ลงวันที่ 19 ก.พ.68 เริ่มสัญญาวันที่ 
20 ก.พ.68 สิ้นสุดสัญญาวันที่ 17 ต.ค.68 (240 วัน) (13  งวดงาน)
</t>
    </r>
    <r>
      <rPr>
        <b/>
        <sz val="16"/>
        <color rgb="FFFF0000"/>
        <rFont val="TH SarabunPSK"/>
        <family val="2"/>
      </rPr>
      <t>ความคืบหน้างาน  99.52  % (กันเงินแบบ PO)</t>
    </r>
    <r>
      <rPr>
        <sz val="16"/>
        <rFont val="TH SarabunPSK"/>
        <family val="2"/>
      </rPr>
      <t xml:space="preserve">
</t>
    </r>
  </si>
  <si>
    <r>
      <rPr>
        <b/>
        <u/>
        <sz val="16"/>
        <rFont val="TH SarabunPSK"/>
        <family val="2"/>
      </rPr>
      <t>ความคืบหน้า</t>
    </r>
    <r>
      <rPr>
        <sz val="16"/>
        <rFont val="TH SarabunPSK"/>
        <family val="2"/>
      </rPr>
      <t xml:space="preserve">
สัญญาเลขที่ 228/2568 ลงวันที่ 13 ก.พ.68 
เริ่มสัญญาวันที่ 14 ก.พ.68 สิ้นสุดสัญญาวันที่ 10 ธ.ค.68 (300 วัน) (16 งวดงาน)
</t>
    </r>
    <r>
      <rPr>
        <b/>
        <sz val="16"/>
        <color rgb="FFFF0000"/>
        <rFont val="TH SarabunPSK"/>
        <family val="2"/>
      </rPr>
      <t xml:space="preserve">ความคืบหน้างาน 75.09 % (กันเงินแบบ PO)
</t>
    </r>
  </si>
  <si>
    <r>
      <t xml:space="preserve">โครงการอนุรักษ์ฟื้นฟูทรัพยากรธรรมชาติสิ่งแวดล้อมทะเลสาบและอนุรักษ์สัตว์ป่าทะเลหายาก 
   </t>
    </r>
    <r>
      <rPr>
        <b/>
        <sz val="16"/>
        <rFont val="TH SarabunPSK"/>
        <family val="2"/>
      </rPr>
      <t>กิจกรรม</t>
    </r>
    <r>
      <rPr>
        <sz val="16"/>
        <rFont val="TH SarabunPSK"/>
        <family val="2"/>
      </rPr>
      <t xml:space="preserve"> ค่ายเยาวชนพิทักษ์ป่า</t>
    </r>
  </si>
  <si>
    <r>
      <t xml:space="preserve">โครงการอนุรักษ์ฟื้นฟูทรัพยากรธรรมชาติสิ่งแวดล้อมทะเลสาบและอนุรักษ์สัตว์ป่าทะเลหายาก 
   </t>
    </r>
    <r>
      <rPr>
        <b/>
        <sz val="16"/>
        <rFont val="TH SarabunPSK"/>
        <family val="2"/>
      </rPr>
      <t>กิจกรรม</t>
    </r>
    <r>
      <rPr>
        <sz val="16"/>
        <rFont val="TH SarabunPSK"/>
        <family val="2"/>
      </rPr>
      <t xml:space="preserve"> ค่าจ้างเหมาจัดทำสื่อวีดีทัศน์ </t>
    </r>
  </si>
  <si>
    <r>
      <t xml:space="preserve">ลงนามในสัญญาเมื่อ 21 ส.ค.68
เริ่มต้นสัญญา 22 ส.ค.68   สิ้นสุดสัญญา 19 พ.ย.68
</t>
    </r>
    <r>
      <rPr>
        <b/>
        <sz val="16"/>
        <rFont val="TH SarabunPSK"/>
        <family val="2"/>
      </rPr>
      <t>(กันเงินแบบ PO)</t>
    </r>
  </si>
  <si>
    <t xml:space="preserve">โครงการ/กิจกรรม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</si>
</sst>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87" formatCode="_-* #,##0_-;\-* #,##0_-;_-* &quot;-&quot;??_-;_-@_-"/>
    <numFmt numFmtId="188" formatCode="#,##0.00_ ;\-#,##0.00\ "/>
    <numFmt numFmtId="189" formatCode="_-* #,##0_-;\-#,##0_-;_-* &quot;-  &quot;_-;_-@_-"/>
    <numFmt numFmtId="190" formatCode="0.000"/>
    <numFmt numFmtId="191" formatCode="_-* #,##0.0000_-;\-* #,##0.0000_-;_-* &quot;-&quot;??_-;_-@_-"/>
    <numFmt numFmtId="192" formatCode="0.0000"/>
    <numFmt numFmtId="193" formatCode="_-* #,##0.00_-;\-#,##0.00_-;_-* &quot;-  &quot;_-;_-@_-"/>
  </numFmts>
  <fonts count="15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sz val="14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rgb="FFFF0000"/>
      <name val="TH SarabunPSK"/>
      <family val="2"/>
    </font>
    <font>
      <b/>
      <sz val="14"/>
      <color rgb="FFFF0000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rgb="FFFF0000"/>
      <name val="TH SarabunPSK"/>
      <family val="2"/>
    </font>
    <font>
      <b/>
      <sz val="12"/>
      <name val="TH SarabunPSK"/>
      <family val="2"/>
    </font>
    <font>
      <b/>
      <sz val="14"/>
      <color theme="3"/>
      <name val="TH SarabunPSK"/>
      <family val="2"/>
    </font>
    <font>
      <sz val="14"/>
      <name val="TH SarabunPSK"/>
      <family val="2"/>
    </font>
    <font>
      <b/>
      <sz val="14"/>
      <color rgb="FF0070C0"/>
      <name val="TH SarabunPSK"/>
      <family val="2"/>
    </font>
    <font>
      <b/>
      <sz val="20"/>
      <name val="TH SarabunPSK"/>
      <family val="2"/>
    </font>
    <font>
      <sz val="10"/>
      <name val="Arial"/>
      <family val="2"/>
    </font>
    <font>
      <b/>
      <sz val="14"/>
      <color theme="0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8"/>
      <color theme="0"/>
      <name val="TH SarabunPSK"/>
      <family val="2"/>
    </font>
    <font>
      <b/>
      <sz val="22"/>
      <color rgb="FFFF0000"/>
      <name val="TH Niramit AS"/>
    </font>
    <font>
      <b/>
      <sz val="20"/>
      <color theme="1"/>
      <name val="TH Niramit AS"/>
    </font>
    <font>
      <sz val="14"/>
      <color theme="1"/>
      <name val="TH Niramit AS"/>
    </font>
    <font>
      <sz val="20"/>
      <color theme="1"/>
      <name val="TH Niramit AS"/>
    </font>
    <font>
      <b/>
      <sz val="20"/>
      <name val="TH Niramit AS"/>
    </font>
    <font>
      <b/>
      <sz val="14"/>
      <color theme="1"/>
      <name val="TH Niramit AS"/>
    </font>
    <font>
      <sz val="22"/>
      <color theme="1"/>
      <name val="TH Niramit AS"/>
    </font>
    <font>
      <b/>
      <sz val="16"/>
      <name val="TH Niramit AS"/>
    </font>
    <font>
      <b/>
      <sz val="16"/>
      <color theme="1"/>
      <name val="TH Niramit AS"/>
    </font>
    <font>
      <b/>
      <sz val="12"/>
      <name val="TH Niramit AS"/>
    </font>
    <font>
      <sz val="28"/>
      <color theme="1"/>
      <name val="TH Niramit AS"/>
    </font>
    <font>
      <b/>
      <sz val="14"/>
      <name val="TH Niramit AS"/>
    </font>
    <font>
      <b/>
      <sz val="11"/>
      <name val="TH Niramit AS"/>
    </font>
    <font>
      <b/>
      <sz val="18"/>
      <name val="TH Niramit AS"/>
    </font>
    <font>
      <b/>
      <sz val="26"/>
      <name val="TH Niramit AS"/>
    </font>
    <font>
      <b/>
      <sz val="28"/>
      <color theme="1"/>
      <name val="TH Niramit AS"/>
    </font>
    <font>
      <b/>
      <sz val="26"/>
      <color theme="1"/>
      <name val="TH Niramit AS"/>
    </font>
    <font>
      <sz val="22"/>
      <name val="TH Niramit AS"/>
    </font>
    <font>
      <sz val="20"/>
      <color rgb="FFFF0000"/>
      <name val="TH Niramit AS"/>
    </font>
    <font>
      <sz val="16"/>
      <color theme="1"/>
      <name val="TH Niramit AS"/>
    </font>
    <font>
      <sz val="16"/>
      <color rgb="FFFF0000"/>
      <name val="TH Niramit AS"/>
    </font>
    <font>
      <b/>
      <sz val="20"/>
      <color rgb="FFFF0000"/>
      <name val="TH Niramit AS"/>
    </font>
    <font>
      <sz val="22"/>
      <color rgb="FFFF0000"/>
      <name val="TH Niramit AS"/>
    </font>
    <font>
      <sz val="36"/>
      <color theme="1"/>
      <name val="TH Niramit AS"/>
    </font>
    <font>
      <sz val="16"/>
      <name val="TH Niramit AS"/>
    </font>
    <font>
      <sz val="12"/>
      <name val="TH Niramit AS"/>
    </font>
    <font>
      <sz val="14"/>
      <name val="TH Niramit AS"/>
    </font>
    <font>
      <sz val="26"/>
      <name val="TH Niramit AS"/>
    </font>
    <font>
      <sz val="18"/>
      <name val="TH Niramit AS"/>
    </font>
    <font>
      <sz val="20"/>
      <name val="TH Niramit AS"/>
    </font>
    <font>
      <sz val="11"/>
      <name val="TH Niramit AS"/>
    </font>
    <font>
      <sz val="10"/>
      <name val="TH Niramit AS"/>
    </font>
    <font>
      <b/>
      <sz val="16"/>
      <color rgb="FFFF0000"/>
      <name val="TH Niramit AS"/>
    </font>
    <font>
      <sz val="36"/>
      <name val="TH Niramit AS"/>
    </font>
    <font>
      <sz val="24"/>
      <name val="TH Niramit AS"/>
    </font>
    <font>
      <b/>
      <sz val="22"/>
      <name val="TH Niramit AS"/>
    </font>
    <font>
      <b/>
      <sz val="14"/>
      <color rgb="FFFF0000"/>
      <name val="TH Niramit AS"/>
    </font>
    <font>
      <sz val="24"/>
      <color theme="1"/>
      <name val="TH Niramit AS"/>
    </font>
    <font>
      <sz val="9"/>
      <name val="TH Niramit AS"/>
    </font>
    <font>
      <b/>
      <sz val="28"/>
      <name val="TH Niramit AS"/>
    </font>
    <font>
      <sz val="28"/>
      <name val="TH Niramit AS"/>
    </font>
    <font>
      <b/>
      <sz val="24"/>
      <name val="TH Niramit AS"/>
    </font>
    <font>
      <sz val="26"/>
      <color theme="1"/>
      <name val="TH Niramit AS"/>
    </font>
    <font>
      <b/>
      <sz val="18"/>
      <color rgb="FFFF0000"/>
      <name val="TH Niramit AS"/>
    </font>
    <font>
      <sz val="18"/>
      <color rgb="FFFF0000"/>
      <name val="TH Niramit AS"/>
    </font>
    <font>
      <b/>
      <sz val="24"/>
      <color rgb="FF7030A0"/>
      <name val="TH Niramit AS"/>
    </font>
    <font>
      <b/>
      <sz val="18"/>
      <color theme="5" tint="-0.249977111117893"/>
      <name val="TH Niramit AS"/>
    </font>
    <font>
      <b/>
      <sz val="11"/>
      <color theme="1"/>
      <name val="Tahoma"/>
      <family val="2"/>
      <scheme val="minor"/>
    </font>
    <font>
      <sz val="26"/>
      <color rgb="FFFF0000"/>
      <name val="TH Niramit AS"/>
    </font>
    <font>
      <b/>
      <sz val="48"/>
      <color theme="1"/>
      <name val="TH Niramit AS"/>
    </font>
    <font>
      <b/>
      <sz val="24"/>
      <color theme="1"/>
      <name val="TH Niramit AS"/>
    </font>
    <font>
      <b/>
      <sz val="36"/>
      <color theme="1"/>
      <name val="TH Niramit AS"/>
    </font>
    <font>
      <b/>
      <sz val="36"/>
      <color rgb="FFFF0000"/>
      <name val="TH Niramit AS"/>
    </font>
    <font>
      <b/>
      <sz val="22"/>
      <color theme="1"/>
      <name val="TH Niramit AS"/>
    </font>
    <font>
      <b/>
      <sz val="28"/>
      <color rgb="FFFF0000"/>
      <name val="TH Niramit AS"/>
    </font>
    <font>
      <b/>
      <sz val="28"/>
      <color rgb="FF002060"/>
      <name val="TH Niramit AS"/>
    </font>
    <font>
      <b/>
      <sz val="26"/>
      <color theme="0"/>
      <name val="TH Niramit AS"/>
    </font>
    <font>
      <sz val="24"/>
      <color theme="0"/>
      <name val="TH Niramit AS"/>
    </font>
    <font>
      <sz val="36"/>
      <color rgb="FFFF0000"/>
      <name val="TH Niramit AS"/>
    </font>
    <font>
      <b/>
      <sz val="24"/>
      <color rgb="FFFF0000"/>
      <name val="TH Niramit AS"/>
    </font>
    <font>
      <b/>
      <sz val="26"/>
      <color rgb="FFFF0000"/>
      <name val="TH Niramit AS"/>
    </font>
    <font>
      <b/>
      <u/>
      <sz val="18"/>
      <name val="TH Niramit AS"/>
    </font>
    <font>
      <b/>
      <sz val="20"/>
      <color theme="0"/>
      <name val="TH Niramit AS"/>
    </font>
    <font>
      <sz val="26"/>
      <color theme="0"/>
      <name val="TH Niramit AS"/>
    </font>
    <font>
      <b/>
      <u/>
      <sz val="26"/>
      <color theme="0"/>
      <name val="TH Niramit AS"/>
    </font>
    <font>
      <sz val="18"/>
      <color theme="1"/>
      <name val="TH Niramit AS"/>
    </font>
    <font>
      <sz val="16"/>
      <name val="TH SarabunPSK"/>
      <family val="2"/>
    </font>
    <font>
      <sz val="14"/>
      <color rgb="FF000000"/>
      <name val="TH SarabunIT๙"/>
      <family val="2"/>
    </font>
    <font>
      <sz val="16.5"/>
      <color rgb="FF0D0D0D"/>
      <name val="Angsana New"/>
      <family val="1"/>
    </font>
    <font>
      <b/>
      <sz val="16"/>
      <name val="TH SarabunPSK"/>
      <family val="2"/>
    </font>
    <font>
      <sz val="10"/>
      <name val="Arial"/>
      <family val="2"/>
      <charset val="222"/>
    </font>
    <font>
      <sz val="16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color rgb="FFFF0000"/>
      <name val="TH SarabunPSK"/>
      <family val="2"/>
      <charset val="222"/>
    </font>
    <font>
      <sz val="48"/>
      <name val="TH Niramit AS"/>
    </font>
    <font>
      <b/>
      <u/>
      <sz val="16"/>
      <name val="TH Niramit AS"/>
    </font>
    <font>
      <b/>
      <sz val="12"/>
      <color rgb="FFFF0000"/>
      <name val="TH Niramit AS"/>
    </font>
    <font>
      <b/>
      <sz val="12"/>
      <color theme="5" tint="-0.249977111117893"/>
      <name val="TH Niramit AS"/>
    </font>
    <font>
      <b/>
      <sz val="16"/>
      <color theme="7" tint="-0.249977111117893"/>
      <name val="TH Niramit AS"/>
    </font>
    <font>
      <sz val="15"/>
      <name val="TH Niramit AS"/>
    </font>
    <font>
      <b/>
      <u/>
      <sz val="18"/>
      <color rgb="FFFF0000"/>
      <name val="TH Niramit AS"/>
    </font>
    <font>
      <b/>
      <sz val="16"/>
      <name val="TH SarabunPSK"/>
      <family val="2"/>
      <charset val="222"/>
    </font>
    <font>
      <sz val="16"/>
      <name val="Arial"/>
      <family val="2"/>
      <charset val="222"/>
    </font>
    <font>
      <b/>
      <sz val="36"/>
      <name val="TH Niramit AS"/>
    </font>
    <font>
      <sz val="8"/>
      <name val="Tahoma"/>
      <family val="2"/>
      <charset val="222"/>
      <scheme val="minor"/>
    </font>
    <font>
      <b/>
      <sz val="24"/>
      <color theme="0"/>
      <name val="TH Niramit AS"/>
    </font>
    <font>
      <b/>
      <sz val="14"/>
      <name val="TH Sarabun New"/>
      <family val="2"/>
    </font>
    <font>
      <b/>
      <sz val="14"/>
      <color theme="1"/>
      <name val="TH Sarabun New"/>
      <family val="2"/>
    </font>
    <font>
      <b/>
      <sz val="10"/>
      <name val="TH Sarabun New"/>
      <family val="2"/>
    </font>
    <font>
      <sz val="14"/>
      <color theme="1"/>
      <name val="TH Sarabun New"/>
      <family val="2"/>
    </font>
    <font>
      <b/>
      <sz val="12"/>
      <name val="TH Sarabun New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b/>
      <sz val="11"/>
      <name val="TH Sarabun New"/>
      <family val="2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sz val="24"/>
      <color theme="1"/>
      <name val="TH SarabunPSK"/>
      <family val="2"/>
    </font>
    <font>
      <sz val="18"/>
      <color theme="1"/>
      <name val="TH SarabunPSK"/>
      <family val="2"/>
    </font>
    <font>
      <b/>
      <sz val="22"/>
      <color theme="1"/>
      <name val="TH SarabunPSK"/>
      <family val="2"/>
    </font>
    <font>
      <b/>
      <sz val="26"/>
      <color theme="1"/>
      <name val="TH SarabunPSK"/>
      <family val="2"/>
    </font>
    <font>
      <b/>
      <sz val="24"/>
      <color theme="1"/>
      <name val="TH SarabunPSK"/>
      <family val="2"/>
    </font>
    <font>
      <b/>
      <sz val="26"/>
      <color rgb="FFFF0000"/>
      <name val="TH SarabunPSK"/>
      <family val="2"/>
    </font>
    <font>
      <sz val="22"/>
      <color theme="1"/>
      <name val="TH SarabunPSK"/>
      <family val="2"/>
    </font>
    <font>
      <b/>
      <sz val="18"/>
      <name val="TH SarabunPSK"/>
      <family val="2"/>
    </font>
    <font>
      <sz val="28"/>
      <color theme="1"/>
      <name val="TH SarabunPSK"/>
      <family val="2"/>
    </font>
    <font>
      <b/>
      <sz val="20"/>
      <color rgb="FFFF0000"/>
      <name val="TH SarabunPSK"/>
      <family val="2"/>
    </font>
    <font>
      <sz val="18"/>
      <color rgb="FFFF0000"/>
      <name val="TH SarabunPSK"/>
      <family val="2"/>
    </font>
    <font>
      <sz val="26"/>
      <color theme="1"/>
      <name val="TH SarabunPSK"/>
      <family val="2"/>
    </font>
    <font>
      <sz val="36"/>
      <color theme="1"/>
      <name val="TH SarabunPSK"/>
      <family val="2"/>
    </font>
    <font>
      <sz val="28"/>
      <color rgb="FFFF0000"/>
      <name val="TH SarabunPSK"/>
      <family val="2"/>
    </font>
    <font>
      <sz val="26"/>
      <color rgb="FFFF0000"/>
      <name val="TH SarabunPSK"/>
      <family val="2"/>
    </font>
    <font>
      <b/>
      <sz val="24"/>
      <name val="TH SarabunPSK"/>
      <family val="2"/>
    </font>
    <font>
      <b/>
      <sz val="22"/>
      <name val="TH SarabunPSK"/>
      <family val="2"/>
    </font>
    <font>
      <sz val="22"/>
      <name val="TH SarabunPSK"/>
      <family val="2"/>
    </font>
    <font>
      <sz val="20"/>
      <color rgb="FFFF0000"/>
      <name val="TH SarabunPSK"/>
      <family val="2"/>
    </font>
    <font>
      <sz val="22"/>
      <color rgb="FFFF0000"/>
      <name val="TH SarabunPSK"/>
      <family val="2"/>
    </font>
    <font>
      <b/>
      <sz val="36"/>
      <color theme="7" tint="-0.499984740745262"/>
      <name val="TH SarabunPSK"/>
      <family val="2"/>
    </font>
    <font>
      <sz val="16"/>
      <color rgb="FFFF0000"/>
      <name val="TH SarabunPSK"/>
      <family val="2"/>
    </font>
    <font>
      <sz val="18"/>
      <color theme="0"/>
      <name val="TH SarabunPSK"/>
      <family val="2"/>
    </font>
    <font>
      <sz val="20"/>
      <name val="TH SarabunPSK"/>
      <family val="2"/>
    </font>
    <font>
      <sz val="24"/>
      <name val="TH SarabunPSK"/>
      <family val="2"/>
    </font>
    <font>
      <sz val="18"/>
      <name val="TH SarabunPSK"/>
      <family val="2"/>
    </font>
    <font>
      <sz val="26"/>
      <name val="TH SarabunPSK"/>
      <family val="2"/>
    </font>
    <font>
      <sz val="28"/>
      <name val="TH SarabunPSK"/>
      <family val="2"/>
    </font>
    <font>
      <b/>
      <sz val="28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sz val="36"/>
      <name val="TH SarabunPSK"/>
      <family val="2"/>
    </font>
    <font>
      <sz val="20"/>
      <color theme="2"/>
      <name val="TH SarabunPSK"/>
      <family val="2"/>
    </font>
    <font>
      <sz val="22"/>
      <color theme="0"/>
      <name val="TH SarabunPSK"/>
      <family val="2"/>
    </font>
    <font>
      <sz val="10"/>
      <name val="TH SarabunPSK"/>
      <family val="2"/>
    </font>
    <font>
      <sz val="16"/>
      <color theme="0"/>
      <name val="TH SarabunPSK"/>
      <family val="2"/>
    </font>
    <font>
      <b/>
      <u/>
      <sz val="16"/>
      <name val="TH SarabunPSK"/>
      <family val="2"/>
    </font>
  </fonts>
  <fills count="3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9F9B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9DCFF"/>
        <bgColor indexed="64"/>
      </patternFill>
    </fill>
    <fill>
      <patternFill patternType="solid">
        <fgColor rgb="FFE7FAFF"/>
        <bgColor indexed="64"/>
      </patternFill>
    </fill>
    <fill>
      <patternFill patternType="solid">
        <fgColor rgb="FFFFEFFD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rgb="FFF2FFEF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</cellStyleXfs>
  <cellXfs count="1521">
    <xf numFmtId="0" fontId="0" fillId="0" borderId="0" xfId="0"/>
    <xf numFmtId="0" fontId="3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5" xfId="1" applyNumberFormat="1" applyFont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6" xfId="1" applyNumberFormat="1" applyFont="1" applyBorder="1" applyAlignment="1">
      <alignment horizontal="center" vertical="top" wrapText="1"/>
    </xf>
    <xf numFmtId="0" fontId="3" fillId="0" borderId="0" xfId="0" applyFont="1"/>
    <xf numFmtId="0" fontId="3" fillId="0" borderId="0" xfId="0" applyFont="1" applyAlignment="1">
      <alignment horizontal="center"/>
    </xf>
    <xf numFmtId="187" fontId="3" fillId="0" borderId="0" xfId="0" applyNumberFormat="1" applyFont="1"/>
    <xf numFmtId="0" fontId="5" fillId="0" borderId="0" xfId="0" applyFont="1"/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187" fontId="5" fillId="3" borderId="2" xfId="0" applyNumberFormat="1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 wrapText="1"/>
    </xf>
    <xf numFmtId="3" fontId="2" fillId="4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4" fillId="0" borderId="0" xfId="0" applyFont="1"/>
    <xf numFmtId="187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87" fontId="5" fillId="0" borderId="0" xfId="1" applyNumberFormat="1" applyFont="1" applyFill="1" applyBorder="1" applyAlignment="1">
      <alignment vertical="center"/>
    </xf>
    <xf numFmtId="3" fontId="5" fillId="0" borderId="4" xfId="0" applyNumberFormat="1" applyFont="1" applyBorder="1" applyAlignment="1">
      <alignment horizontal="right" vertical="top" wrapText="1"/>
    </xf>
    <xf numFmtId="187" fontId="3" fillId="0" borderId="5" xfId="1" applyNumberFormat="1" applyFont="1" applyFill="1" applyBorder="1" applyAlignment="1">
      <alignment horizontal="right" vertical="top" wrapText="1"/>
    </xf>
    <xf numFmtId="0" fontId="3" fillId="0" borderId="5" xfId="1" applyNumberFormat="1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 wrapText="1"/>
    </xf>
    <xf numFmtId="187" fontId="5" fillId="0" borderId="5" xfId="1" applyNumberFormat="1" applyFont="1" applyFill="1" applyBorder="1" applyAlignment="1">
      <alignment horizontal="right" vertical="top" wrapText="1"/>
    </xf>
    <xf numFmtId="0" fontId="5" fillId="0" borderId="5" xfId="1" applyNumberFormat="1" applyFont="1" applyFill="1" applyBorder="1" applyAlignment="1">
      <alignment horizontal="center" vertical="top" wrapText="1"/>
    </xf>
    <xf numFmtId="187" fontId="3" fillId="0" borderId="6" xfId="1" applyNumberFormat="1" applyFont="1" applyFill="1" applyBorder="1" applyAlignment="1">
      <alignment horizontal="right" vertical="top" wrapText="1"/>
    </xf>
    <xf numFmtId="0" fontId="3" fillId="0" borderId="6" xfId="1" applyNumberFormat="1" applyFont="1" applyFill="1" applyBorder="1" applyAlignment="1">
      <alignment horizontal="center" vertical="top" wrapText="1"/>
    </xf>
    <xf numFmtId="3" fontId="3" fillId="0" borderId="4" xfId="0" applyNumberFormat="1" applyFont="1" applyBorder="1" applyAlignment="1">
      <alignment horizontal="right" vertical="top" wrapText="1"/>
    </xf>
    <xf numFmtId="0" fontId="5" fillId="5" borderId="4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left" vertical="top" wrapText="1"/>
    </xf>
    <xf numFmtId="3" fontId="5" fillId="5" borderId="4" xfId="0" applyNumberFormat="1" applyFont="1" applyFill="1" applyBorder="1" applyAlignment="1">
      <alignment horizontal="righ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5" xfId="0" applyFont="1" applyFill="1" applyBorder="1" applyAlignment="1">
      <alignment horizontal="left" vertical="top" wrapText="1"/>
    </xf>
    <xf numFmtId="187" fontId="5" fillId="5" borderId="5" xfId="1" applyNumberFormat="1" applyFont="1" applyFill="1" applyBorder="1" applyAlignment="1">
      <alignment horizontal="right" vertical="top" wrapText="1"/>
    </xf>
    <xf numFmtId="0" fontId="5" fillId="5" borderId="5" xfId="1" applyNumberFormat="1" applyFont="1" applyFill="1" applyBorder="1" applyAlignment="1">
      <alignment horizontal="center" vertical="top" wrapText="1"/>
    </xf>
    <xf numFmtId="0" fontId="3" fillId="5" borderId="5" xfId="0" applyFont="1" applyFill="1" applyBorder="1" applyAlignment="1">
      <alignment horizontal="left" vertical="top" wrapText="1"/>
    </xf>
    <xf numFmtId="187" fontId="3" fillId="5" borderId="5" xfId="1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center" vertical="top" wrapText="1"/>
    </xf>
    <xf numFmtId="3" fontId="3" fillId="5" borderId="4" xfId="0" applyNumberFormat="1" applyFont="1" applyFill="1" applyBorder="1" applyAlignment="1">
      <alignment horizontal="right" vertical="top" wrapText="1"/>
    </xf>
    <xf numFmtId="0" fontId="3" fillId="5" borderId="5" xfId="1" applyNumberFormat="1" applyFont="1" applyFill="1" applyBorder="1" applyAlignment="1">
      <alignment horizontal="center" vertical="top" wrapText="1"/>
    </xf>
    <xf numFmtId="49" fontId="2" fillId="2" borderId="2" xfId="0" applyNumberFormat="1" applyFont="1" applyFill="1" applyBorder="1" applyAlignment="1">
      <alignment horizontal="center" vertical="center"/>
    </xf>
    <xf numFmtId="3" fontId="5" fillId="5" borderId="4" xfId="0" applyNumberFormat="1" applyFont="1" applyFill="1" applyBorder="1" applyAlignment="1">
      <alignment horizontal="center" vertical="top" wrapText="1"/>
    </xf>
    <xf numFmtId="187" fontId="5" fillId="3" borderId="2" xfId="0" applyNumberFormat="1" applyFont="1" applyFill="1" applyBorder="1" applyAlignment="1">
      <alignment horizontal="center" vertical="center"/>
    </xf>
    <xf numFmtId="187" fontId="5" fillId="5" borderId="5" xfId="1" applyNumberFormat="1" applyFont="1" applyFill="1" applyBorder="1" applyAlignment="1">
      <alignment horizontal="center" vertical="top" wrapText="1"/>
    </xf>
    <xf numFmtId="1" fontId="5" fillId="5" borderId="5" xfId="1" applyNumberFormat="1" applyFont="1" applyFill="1" applyBorder="1" applyAlignment="1">
      <alignment horizontal="center" vertical="top" wrapText="1"/>
    </xf>
    <xf numFmtId="187" fontId="5" fillId="5" borderId="4" xfId="1" applyNumberFormat="1" applyFont="1" applyFill="1" applyBorder="1" applyAlignment="1">
      <alignment horizontal="center" vertical="top" wrapText="1"/>
    </xf>
    <xf numFmtId="187" fontId="3" fillId="0" borderId="5" xfId="1" applyNumberFormat="1" applyFont="1" applyFill="1" applyBorder="1" applyAlignment="1">
      <alignment horizontal="center" vertical="top" wrapText="1"/>
    </xf>
    <xf numFmtId="187" fontId="3" fillId="0" borderId="5" xfId="1" applyNumberFormat="1" applyFont="1" applyFill="1" applyBorder="1" applyAlignment="1">
      <alignment horizontal="center" vertical="top"/>
    </xf>
    <xf numFmtId="187" fontId="5" fillId="0" borderId="5" xfId="1" applyNumberFormat="1" applyFont="1" applyFill="1" applyBorder="1" applyAlignment="1">
      <alignment horizontal="center" vertical="top" wrapText="1"/>
    </xf>
    <xf numFmtId="187" fontId="3" fillId="5" borderId="5" xfId="1" applyNumberFormat="1" applyFont="1" applyFill="1" applyBorder="1" applyAlignment="1">
      <alignment horizontal="center" vertical="top" wrapText="1"/>
    </xf>
    <xf numFmtId="187" fontId="3" fillId="0" borderId="6" xfId="1" applyNumberFormat="1" applyFont="1" applyFill="1" applyBorder="1" applyAlignment="1">
      <alignment horizontal="center" vertical="top" wrapText="1"/>
    </xf>
    <xf numFmtId="187" fontId="3" fillId="0" borderId="6" xfId="1" applyNumberFormat="1" applyFont="1" applyFill="1" applyBorder="1" applyAlignment="1">
      <alignment horizontal="center" vertical="top"/>
    </xf>
    <xf numFmtId="187" fontId="9" fillId="0" borderId="0" xfId="0" applyNumberFormat="1" applyFont="1"/>
    <xf numFmtId="3" fontId="3" fillId="0" borderId="0" xfId="0" applyNumberFormat="1" applyFont="1"/>
    <xf numFmtId="0" fontId="3" fillId="6" borderId="5" xfId="0" applyFont="1" applyFill="1" applyBorder="1" applyAlignment="1">
      <alignment horizontal="left" vertical="top" wrapText="1"/>
    </xf>
    <xf numFmtId="187" fontId="7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187" fontId="5" fillId="3" borderId="4" xfId="0" applyNumberFormat="1" applyFont="1" applyFill="1" applyBorder="1" applyAlignment="1">
      <alignment horizontal="left" vertical="top" wrapText="1"/>
    </xf>
    <xf numFmtId="187" fontId="5" fillId="3" borderId="4" xfId="0" applyNumberFormat="1" applyFont="1" applyFill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left" vertical="top" wrapText="1"/>
    </xf>
    <xf numFmtId="187" fontId="3" fillId="0" borderId="10" xfId="1" applyNumberFormat="1" applyFont="1" applyBorder="1" applyAlignment="1">
      <alignment horizontal="center" vertical="top" wrapText="1"/>
    </xf>
    <xf numFmtId="187" fontId="3" fillId="0" borderId="10" xfId="1" applyNumberFormat="1" applyFont="1" applyBorder="1" applyAlignment="1">
      <alignment horizontal="left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left" vertical="top" wrapText="1"/>
    </xf>
    <xf numFmtId="187" fontId="3" fillId="0" borderId="9" xfId="1" applyNumberFormat="1" applyFont="1" applyBorder="1" applyAlignment="1">
      <alignment horizontal="right" vertical="top" wrapText="1"/>
    </xf>
    <xf numFmtId="187" fontId="3" fillId="0" borderId="9" xfId="1" applyNumberFormat="1" applyFont="1" applyBorder="1" applyAlignment="1">
      <alignment horizontal="center" vertical="top" wrapText="1"/>
    </xf>
    <xf numFmtId="187" fontId="3" fillId="0" borderId="9" xfId="1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left" vertical="top" wrapText="1"/>
    </xf>
    <xf numFmtId="187" fontId="3" fillId="0" borderId="4" xfId="1" applyNumberFormat="1" applyFont="1" applyBorder="1" applyAlignment="1">
      <alignment horizontal="right" vertical="top" wrapText="1"/>
    </xf>
    <xf numFmtId="187" fontId="3" fillId="0" borderId="4" xfId="1" applyNumberFormat="1" applyFont="1" applyBorder="1" applyAlignment="1">
      <alignment horizontal="center" vertical="top" wrapText="1"/>
    </xf>
    <xf numFmtId="187" fontId="3" fillId="0" borderId="4" xfId="1" applyNumberFormat="1" applyFont="1" applyBorder="1" applyAlignment="1">
      <alignment horizontal="left" vertical="top" wrapText="1"/>
    </xf>
    <xf numFmtId="187" fontId="5" fillId="3" borderId="5" xfId="1" applyNumberFormat="1" applyFont="1" applyFill="1" applyBorder="1" applyAlignment="1">
      <alignment horizontal="center" vertical="top" wrapText="1"/>
    </xf>
    <xf numFmtId="187" fontId="5" fillId="3" borderId="5" xfId="1" applyNumberFormat="1" applyFont="1" applyFill="1" applyBorder="1" applyAlignment="1">
      <alignment horizontal="left" vertical="top" wrapText="1"/>
    </xf>
    <xf numFmtId="187" fontId="3" fillId="0" borderId="5" xfId="1" applyNumberFormat="1" applyFont="1" applyBorder="1" applyAlignment="1">
      <alignment horizontal="center" vertical="top" wrapText="1"/>
    </xf>
    <xf numFmtId="187" fontId="3" fillId="0" borderId="5" xfId="1" applyNumberFormat="1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vertical="top"/>
    </xf>
    <xf numFmtId="0" fontId="7" fillId="0" borderId="0" xfId="0" applyFont="1"/>
    <xf numFmtId="3" fontId="2" fillId="7" borderId="2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horizontal="left"/>
    </xf>
    <xf numFmtId="0" fontId="3" fillId="0" borderId="5" xfId="1" applyNumberFormat="1" applyFont="1" applyBorder="1" applyAlignment="1">
      <alignment horizontal="left" vertical="top" wrapText="1"/>
    </xf>
    <xf numFmtId="0" fontId="5" fillId="5" borderId="5" xfId="1" applyNumberFormat="1" applyFont="1" applyFill="1" applyBorder="1" applyAlignment="1">
      <alignment horizontal="left" vertical="top" wrapText="1"/>
    </xf>
    <xf numFmtId="0" fontId="3" fillId="0" borderId="6" xfId="1" applyNumberFormat="1" applyFont="1" applyBorder="1" applyAlignment="1">
      <alignment horizontal="left" vertical="top" wrapText="1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left" vertical="top"/>
    </xf>
    <xf numFmtId="0" fontId="14" fillId="0" borderId="5" xfId="1" applyNumberFormat="1" applyFont="1" applyBorder="1" applyAlignment="1">
      <alignment horizontal="center" vertical="top" wrapText="1"/>
    </xf>
    <xf numFmtId="0" fontId="2" fillId="5" borderId="5" xfId="1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vertical="top"/>
    </xf>
    <xf numFmtId="3" fontId="3" fillId="0" borderId="2" xfId="0" applyNumberFormat="1" applyFont="1" applyBorder="1" applyAlignment="1">
      <alignment horizontal="center" vertical="top"/>
    </xf>
    <xf numFmtId="0" fontId="7" fillId="0" borderId="0" xfId="0" applyFont="1" applyAlignment="1">
      <alignment horizontal="left" vertical="top"/>
    </xf>
    <xf numFmtId="0" fontId="5" fillId="0" borderId="0" xfId="0" applyFont="1" applyAlignment="1">
      <alignment horizontal="right" vertical="top"/>
    </xf>
    <xf numFmtId="0" fontId="3" fillId="0" borderId="0" xfId="0" applyFont="1" applyAlignment="1">
      <alignment horizontal="right"/>
    </xf>
    <xf numFmtId="4" fontId="5" fillId="5" borderId="4" xfId="0" applyNumberFormat="1" applyFont="1" applyFill="1" applyBorder="1" applyAlignment="1">
      <alignment horizontal="right" vertical="top" wrapText="1"/>
    </xf>
    <xf numFmtId="4" fontId="5" fillId="5" borderId="5" xfId="1" applyNumberFormat="1" applyFont="1" applyFill="1" applyBorder="1" applyAlignment="1">
      <alignment horizontal="right" vertical="top" wrapText="1"/>
    </xf>
    <xf numFmtId="4" fontId="3" fillId="0" borderId="5" xfId="1" applyNumberFormat="1" applyFont="1" applyBorder="1" applyAlignment="1">
      <alignment horizontal="right" vertical="top" wrapText="1"/>
    </xf>
    <xf numFmtId="4" fontId="3" fillId="0" borderId="6" xfId="1" applyNumberFormat="1" applyFont="1" applyBorder="1" applyAlignment="1">
      <alignment horizontal="right" vertical="top" wrapText="1"/>
    </xf>
    <xf numFmtId="4" fontId="14" fillId="0" borderId="5" xfId="1" applyNumberFormat="1" applyFont="1" applyBorder="1" applyAlignment="1">
      <alignment horizontal="right" vertical="top" wrapText="1"/>
    </xf>
    <xf numFmtId="188" fontId="5" fillId="3" borderId="4" xfId="0" applyNumberFormat="1" applyFont="1" applyFill="1" applyBorder="1" applyAlignment="1">
      <alignment horizontal="right" vertical="top" wrapText="1"/>
    </xf>
    <xf numFmtId="188" fontId="3" fillId="0" borderId="10" xfId="1" applyNumberFormat="1" applyFont="1" applyBorder="1" applyAlignment="1">
      <alignment horizontal="right" vertical="top" wrapText="1"/>
    </xf>
    <xf numFmtId="188" fontId="5" fillId="3" borderId="5" xfId="1" applyNumberFormat="1" applyFont="1" applyFill="1" applyBorder="1" applyAlignment="1">
      <alignment horizontal="right" vertical="top" wrapText="1"/>
    </xf>
    <xf numFmtId="188" fontId="3" fillId="0" borderId="5" xfId="1" applyNumberFormat="1" applyFont="1" applyBorder="1" applyAlignment="1">
      <alignment horizontal="right" vertical="top" wrapText="1"/>
    </xf>
    <xf numFmtId="188" fontId="3" fillId="0" borderId="4" xfId="1" applyNumberFormat="1" applyFont="1" applyBorder="1" applyAlignment="1">
      <alignment horizontal="right" vertical="top" wrapText="1"/>
    </xf>
    <xf numFmtId="0" fontId="3" fillId="0" borderId="9" xfId="0" applyFont="1" applyBorder="1" applyAlignment="1">
      <alignment wrapText="1"/>
    </xf>
    <xf numFmtId="0" fontId="3" fillId="3" borderId="5" xfId="0" applyFont="1" applyFill="1" applyBorder="1" applyAlignment="1">
      <alignment wrapText="1"/>
    </xf>
    <xf numFmtId="0" fontId="5" fillId="3" borderId="8" xfId="0" applyFont="1" applyFill="1" applyBorder="1" applyAlignment="1">
      <alignment horizontal="center" vertical="center" wrapText="1"/>
    </xf>
    <xf numFmtId="188" fontId="5" fillId="3" borderId="2" xfId="0" applyNumberFormat="1" applyFont="1" applyFill="1" applyBorder="1" applyAlignment="1">
      <alignment vertical="center" wrapText="1"/>
    </xf>
    <xf numFmtId="0" fontId="3" fillId="3" borderId="2" xfId="0" applyFont="1" applyFill="1" applyBorder="1" applyAlignment="1">
      <alignment wrapText="1"/>
    </xf>
    <xf numFmtId="0" fontId="3" fillId="0" borderId="9" xfId="0" applyFont="1" applyBorder="1" applyAlignment="1">
      <alignment vertical="top" wrapText="1"/>
    </xf>
    <xf numFmtId="0" fontId="15" fillId="0" borderId="0" xfId="0" applyFont="1"/>
    <xf numFmtId="0" fontId="2" fillId="0" borderId="0" xfId="0" applyFont="1" applyAlignment="1">
      <alignment horizontal="left" vertical="top"/>
    </xf>
    <xf numFmtId="0" fontId="2" fillId="0" borderId="0" xfId="0" applyFont="1"/>
    <xf numFmtId="0" fontId="7" fillId="0" borderId="0" xfId="0" applyFont="1" applyAlignment="1">
      <alignment horizontal="left"/>
    </xf>
    <xf numFmtId="0" fontId="2" fillId="0" borderId="0" xfId="0" applyFont="1" applyAlignment="1">
      <alignment vertical="top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4" fontId="14" fillId="0" borderId="6" xfId="1" applyNumberFormat="1" applyFont="1" applyBorder="1" applyAlignment="1">
      <alignment horizontal="right" vertical="top" wrapText="1"/>
    </xf>
    <xf numFmtId="4" fontId="2" fillId="5" borderId="2" xfId="0" applyNumberFormat="1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wrapText="1"/>
    </xf>
    <xf numFmtId="2" fontId="3" fillId="3" borderId="2" xfId="0" applyNumberFormat="1" applyFont="1" applyFill="1" applyBorder="1" applyAlignment="1">
      <alignment wrapText="1"/>
    </xf>
    <xf numFmtId="4" fontId="5" fillId="0" borderId="0" xfId="0" applyNumberFormat="1" applyFont="1" applyAlignment="1">
      <alignment horizontal="center" vertical="center"/>
    </xf>
    <xf numFmtId="0" fontId="3" fillId="0" borderId="5" xfId="1" quotePrefix="1" applyNumberFormat="1" applyFont="1" applyBorder="1" applyAlignment="1">
      <alignment horizontal="left" vertical="top" wrapText="1"/>
    </xf>
    <xf numFmtId="0" fontId="5" fillId="5" borderId="2" xfId="0" applyFont="1" applyFill="1" applyBorder="1" applyAlignment="1">
      <alignment horizontal="center" vertical="top" wrapText="1"/>
    </xf>
    <xf numFmtId="4" fontId="6" fillId="0" borderId="5" xfId="1" applyNumberFormat="1" applyFont="1" applyBorder="1" applyAlignment="1">
      <alignment horizontal="right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5" xfId="1" applyNumberFormat="1" applyFont="1" applyBorder="1" applyAlignment="1">
      <alignment horizontal="center" vertical="top" wrapText="1"/>
    </xf>
    <xf numFmtId="0" fontId="6" fillId="0" borderId="5" xfId="1" applyNumberFormat="1" applyFont="1" applyBorder="1" applyAlignment="1">
      <alignment horizontal="left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 wrapText="1"/>
    </xf>
    <xf numFmtId="0" fontId="5" fillId="3" borderId="4" xfId="1" applyNumberFormat="1" applyFont="1" applyFill="1" applyBorder="1" applyAlignment="1">
      <alignment horizontal="center" vertical="top" wrapText="1"/>
    </xf>
    <xf numFmtId="0" fontId="3" fillId="0" borderId="9" xfId="1" applyNumberFormat="1" applyFont="1" applyBorder="1" applyAlignment="1">
      <alignment horizontal="center" vertical="top" wrapText="1"/>
    </xf>
    <xf numFmtId="0" fontId="5" fillId="3" borderId="5" xfId="1" applyNumberFormat="1" applyFont="1" applyFill="1" applyBorder="1" applyAlignment="1">
      <alignment horizontal="center" vertical="top" wrapText="1"/>
    </xf>
    <xf numFmtId="0" fontId="5" fillId="3" borderId="2" xfId="1" applyNumberFormat="1" applyFont="1" applyFill="1" applyBorder="1" applyAlignment="1">
      <alignment horizontal="center" vertical="top" wrapText="1"/>
    </xf>
    <xf numFmtId="43" fontId="3" fillId="0" borderId="9" xfId="1" applyFont="1" applyBorder="1" applyAlignment="1">
      <alignment vertical="top" wrapText="1"/>
    </xf>
    <xf numFmtId="43" fontId="3" fillId="3" borderId="4" xfId="1" applyFont="1" applyFill="1" applyBorder="1" applyAlignment="1">
      <alignment wrapText="1"/>
    </xf>
    <xf numFmtId="43" fontId="3" fillId="0" borderId="9" xfId="1" applyFont="1" applyBorder="1" applyAlignment="1">
      <alignment wrapText="1"/>
    </xf>
    <xf numFmtId="43" fontId="3" fillId="3" borderId="5" xfId="1" applyFont="1" applyFill="1" applyBorder="1" applyAlignment="1">
      <alignment wrapText="1"/>
    </xf>
    <xf numFmtId="43" fontId="3" fillId="3" borderId="2" xfId="1" applyFont="1" applyFill="1" applyBorder="1" applyAlignment="1">
      <alignment wrapText="1"/>
    </xf>
    <xf numFmtId="43" fontId="14" fillId="0" borderId="5" xfId="1" applyFont="1" applyBorder="1" applyAlignment="1">
      <alignment horizontal="right" vertical="top" wrapText="1"/>
    </xf>
    <xf numFmtId="43" fontId="5" fillId="5" borderId="4" xfId="1" applyFont="1" applyFill="1" applyBorder="1" applyAlignment="1">
      <alignment horizontal="right" vertical="top" wrapText="1"/>
    </xf>
    <xf numFmtId="43" fontId="2" fillId="5" borderId="5" xfId="1" applyFont="1" applyFill="1" applyBorder="1" applyAlignment="1">
      <alignment horizontal="right" vertical="top" wrapText="1"/>
    </xf>
    <xf numFmtId="43" fontId="6" fillId="0" borderId="5" xfId="1" applyFont="1" applyBorder="1" applyAlignment="1">
      <alignment horizontal="right" vertical="top" wrapText="1"/>
    </xf>
    <xf numFmtId="0" fontId="8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16" fillId="0" borderId="0" xfId="0" applyFont="1" applyAlignment="1">
      <alignment vertical="top"/>
    </xf>
    <xf numFmtId="17" fontId="6" fillId="0" borderId="5" xfId="1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top"/>
    </xf>
    <xf numFmtId="0" fontId="10" fillId="0" borderId="2" xfId="0" applyFont="1" applyBorder="1" applyAlignment="1">
      <alignment vertical="top"/>
    </xf>
    <xf numFmtId="3" fontId="6" fillId="0" borderId="2" xfId="0" applyNumberFormat="1" applyFont="1" applyBorder="1" applyAlignment="1">
      <alignment horizontal="center" vertical="top"/>
    </xf>
    <xf numFmtId="4" fontId="6" fillId="0" borderId="2" xfId="0" applyNumberFormat="1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4" fontId="5" fillId="5" borderId="2" xfId="0" applyNumberFormat="1" applyFont="1" applyFill="1" applyBorder="1" applyAlignment="1">
      <alignment vertical="center" wrapText="1"/>
    </xf>
    <xf numFmtId="0" fontId="14" fillId="0" borderId="5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wrapText="1"/>
    </xf>
    <xf numFmtId="0" fontId="8" fillId="0" borderId="0" xfId="0" applyFont="1" applyAlignment="1">
      <alignment vertical="top"/>
    </xf>
    <xf numFmtId="0" fontId="18" fillId="0" borderId="0" xfId="0" applyFont="1" applyAlignment="1">
      <alignment horizontal="right" vertical="top"/>
    </xf>
    <xf numFmtId="0" fontId="19" fillId="0" borderId="0" xfId="0" applyFont="1" applyAlignment="1">
      <alignment vertical="top"/>
    </xf>
    <xf numFmtId="0" fontId="20" fillId="0" borderId="0" xfId="0" applyFont="1"/>
    <xf numFmtId="0" fontId="21" fillId="0" borderId="0" xfId="0" applyFont="1" applyAlignment="1">
      <alignment vertical="top"/>
    </xf>
    <xf numFmtId="0" fontId="0" fillId="0" borderId="0" xfId="0" applyAlignment="1">
      <alignment vertical="center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7" fillId="0" borderId="0" xfId="0" applyFont="1" applyAlignment="1">
      <alignment horizontal="center" vertical="center"/>
    </xf>
    <xf numFmtId="4" fontId="27" fillId="0" borderId="0" xfId="0" applyNumberFormat="1" applyFont="1" applyAlignment="1">
      <alignment horizontal="center" vertical="center"/>
    </xf>
    <xf numFmtId="0" fontId="28" fillId="0" borderId="0" xfId="0" applyFont="1"/>
    <xf numFmtId="3" fontId="33" fillId="7" borderId="2" xfId="0" applyNumberFormat="1" applyFont="1" applyFill="1" applyBorder="1" applyAlignment="1">
      <alignment horizontal="center" vertical="top" wrapText="1"/>
    </xf>
    <xf numFmtId="3" fontId="36" fillId="10" borderId="9" xfId="0" applyNumberFormat="1" applyFont="1" applyFill="1" applyBorder="1" applyAlignment="1">
      <alignment horizontal="center" vertical="top" wrapText="1"/>
    </xf>
    <xf numFmtId="3" fontId="36" fillId="10" borderId="13" xfId="0" applyNumberFormat="1" applyFont="1" applyFill="1" applyBorder="1" applyAlignment="1">
      <alignment horizontal="center" vertical="top" wrapText="1"/>
    </xf>
    <xf numFmtId="4" fontId="24" fillId="0" borderId="0" xfId="0" applyNumberFormat="1" applyFont="1"/>
    <xf numFmtId="3" fontId="33" fillId="9" borderId="3" xfId="0" applyNumberFormat="1" applyFont="1" applyFill="1" applyBorder="1" applyAlignment="1">
      <alignment horizontal="center" vertical="top" wrapText="1"/>
    </xf>
    <xf numFmtId="3" fontId="31" fillId="10" borderId="3" xfId="0" applyNumberFormat="1" applyFont="1" applyFill="1" applyBorder="1" applyAlignment="1">
      <alignment horizontal="center" vertical="top" wrapText="1"/>
    </xf>
    <xf numFmtId="3" fontId="31" fillId="10" borderId="14" xfId="0" applyNumberFormat="1" applyFont="1" applyFill="1" applyBorder="1" applyAlignment="1">
      <alignment horizontal="center" vertical="top" wrapText="1"/>
    </xf>
    <xf numFmtId="43" fontId="25" fillId="0" borderId="0" xfId="1" applyFont="1"/>
    <xf numFmtId="43" fontId="28" fillId="0" borderId="0" xfId="1" applyFont="1" applyAlignment="1">
      <alignment horizontal="center"/>
    </xf>
    <xf numFmtId="4" fontId="28" fillId="6" borderId="0" xfId="0" applyNumberFormat="1" applyFont="1" applyFill="1"/>
    <xf numFmtId="0" fontId="41" fillId="0" borderId="0" xfId="0" applyFont="1"/>
    <xf numFmtId="4" fontId="30" fillId="5" borderId="9" xfId="0" applyNumberFormat="1" applyFont="1" applyFill="1" applyBorder="1" applyAlignment="1">
      <alignment horizontal="center" vertical="top" wrapText="1"/>
    </xf>
    <xf numFmtId="4" fontId="30" fillId="5" borderId="3" xfId="0" applyNumberFormat="1" applyFont="1" applyFill="1" applyBorder="1" applyAlignment="1">
      <alignment horizontal="left" vertical="top" wrapText="1"/>
    </xf>
    <xf numFmtId="4" fontId="30" fillId="5" borderId="9" xfId="0" applyNumberFormat="1" applyFont="1" applyFill="1" applyBorder="1" applyAlignment="1">
      <alignment horizontal="left" vertical="top" wrapText="1"/>
    </xf>
    <xf numFmtId="0" fontId="46" fillId="12" borderId="9" xfId="1" applyNumberFormat="1" applyFont="1" applyFill="1" applyBorder="1" applyAlignment="1">
      <alignment horizontal="left" vertical="top" wrapText="1"/>
    </xf>
    <xf numFmtId="4" fontId="46" fillId="12" borderId="1" xfId="1" applyNumberFormat="1" applyFont="1" applyFill="1" applyBorder="1" applyAlignment="1">
      <alignment horizontal="left" vertical="top" wrapText="1"/>
    </xf>
    <xf numFmtId="4" fontId="46" fillId="12" borderId="9" xfId="1" applyNumberFormat="1" applyFont="1" applyFill="1" applyBorder="1" applyAlignment="1">
      <alignment horizontal="left" vertical="top" wrapText="1"/>
    </xf>
    <xf numFmtId="0" fontId="48" fillId="12" borderId="0" xfId="0" applyFont="1" applyFill="1" applyAlignment="1">
      <alignment vertical="top"/>
    </xf>
    <xf numFmtId="0" fontId="29" fillId="5" borderId="5" xfId="0" applyFont="1" applyFill="1" applyBorder="1" applyAlignment="1">
      <alignment horizontal="center" vertical="top" wrapText="1"/>
    </xf>
    <xf numFmtId="0" fontId="29" fillId="5" borderId="9" xfId="1" applyNumberFormat="1" applyFont="1" applyFill="1" applyBorder="1" applyAlignment="1">
      <alignment horizontal="left" vertical="top" wrapText="1"/>
    </xf>
    <xf numFmtId="0" fontId="50" fillId="12" borderId="9" xfId="1" applyNumberFormat="1" applyFont="1" applyFill="1" applyBorder="1" applyAlignment="1">
      <alignment horizontal="left" vertical="top" wrapText="1"/>
    </xf>
    <xf numFmtId="0" fontId="50" fillId="12" borderId="0" xfId="0" applyFont="1" applyFill="1"/>
    <xf numFmtId="0" fontId="46" fillId="12" borderId="0" xfId="0" applyFont="1" applyFill="1"/>
    <xf numFmtId="4" fontId="29" fillId="5" borderId="9" xfId="1" applyNumberFormat="1" applyFont="1" applyFill="1" applyBorder="1" applyAlignment="1">
      <alignment horizontal="left" vertical="top" wrapText="1"/>
    </xf>
    <xf numFmtId="0" fontId="48" fillId="12" borderId="9" xfId="1" applyNumberFormat="1" applyFont="1" applyFill="1" applyBorder="1" applyAlignment="1">
      <alignment horizontal="left" vertical="top" wrapText="1"/>
    </xf>
    <xf numFmtId="0" fontId="52" fillId="12" borderId="9" xfId="1" applyNumberFormat="1" applyFont="1" applyFill="1" applyBorder="1" applyAlignment="1">
      <alignment horizontal="left" vertical="top" wrapText="1"/>
    </xf>
    <xf numFmtId="0" fontId="46" fillId="12" borderId="0" xfId="0" applyFont="1" applyFill="1" applyAlignment="1">
      <alignment vertical="top"/>
    </xf>
    <xf numFmtId="0" fontId="47" fillId="12" borderId="9" xfId="1" applyNumberFormat="1" applyFont="1" applyFill="1" applyBorder="1" applyAlignment="1">
      <alignment horizontal="left" vertical="top" wrapText="1"/>
    </xf>
    <xf numFmtId="3" fontId="29" fillId="13" borderId="9" xfId="0" applyNumberFormat="1" applyFont="1" applyFill="1" applyBorder="1" applyAlignment="1">
      <alignment horizontal="center" vertical="top" wrapText="1"/>
    </xf>
    <xf numFmtId="4" fontId="29" fillId="12" borderId="9" xfId="1" applyNumberFormat="1" applyFont="1" applyFill="1" applyBorder="1" applyAlignment="1">
      <alignment horizontal="left" vertical="top" wrapText="1"/>
    </xf>
    <xf numFmtId="4" fontId="50" fillId="12" borderId="9" xfId="1" applyNumberFormat="1" applyFont="1" applyFill="1" applyBorder="1" applyAlignment="1">
      <alignment horizontal="center" vertical="top" wrapText="1"/>
    </xf>
    <xf numFmtId="0" fontId="29" fillId="12" borderId="9" xfId="1" applyNumberFormat="1" applyFont="1" applyFill="1" applyBorder="1" applyAlignment="1">
      <alignment horizontal="left" vertical="top" wrapText="1"/>
    </xf>
    <xf numFmtId="0" fontId="46" fillId="0" borderId="5" xfId="0" applyFont="1" applyBorder="1" applyAlignment="1">
      <alignment horizontal="center" vertical="top" wrapText="1"/>
    </xf>
    <xf numFmtId="0" fontId="50" fillId="0" borderId="9" xfId="1" applyNumberFormat="1" applyFont="1" applyBorder="1" applyAlignment="1">
      <alignment horizontal="left" vertical="top" wrapText="1"/>
    </xf>
    <xf numFmtId="0" fontId="46" fillId="0" borderId="0" xfId="0" applyFont="1"/>
    <xf numFmtId="0" fontId="46" fillId="0" borderId="0" xfId="0" applyFont="1" applyAlignment="1">
      <alignment vertical="top"/>
    </xf>
    <xf numFmtId="0" fontId="46" fillId="0" borderId="9" xfId="1" applyNumberFormat="1" applyFont="1" applyBorder="1" applyAlignment="1">
      <alignment horizontal="left" vertical="top" wrapText="1"/>
    </xf>
    <xf numFmtId="0" fontId="46" fillId="0" borderId="3" xfId="1" applyNumberFormat="1" applyFont="1" applyBorder="1" applyAlignment="1">
      <alignment horizontal="left" vertical="top" wrapText="1"/>
    </xf>
    <xf numFmtId="0" fontId="48" fillId="0" borderId="0" xfId="0" applyFont="1"/>
    <xf numFmtId="0" fontId="27" fillId="0" borderId="0" xfId="0" applyFont="1" applyAlignment="1">
      <alignment horizontal="center" vertical="top"/>
    </xf>
    <xf numFmtId="0" fontId="27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vertical="top"/>
    </xf>
    <xf numFmtId="0" fontId="58" fillId="0" borderId="0" xfId="0" applyFont="1" applyAlignment="1">
      <alignment vertical="top"/>
    </xf>
    <xf numFmtId="0" fontId="58" fillId="0" borderId="0" xfId="0" applyFont="1"/>
    <xf numFmtId="0" fontId="27" fillId="0" borderId="0" xfId="0" applyFont="1" applyAlignment="1">
      <alignment vertical="top" wrapText="1"/>
    </xf>
    <xf numFmtId="0" fontId="27" fillId="0" borderId="0" xfId="0" applyFont="1" applyAlignment="1">
      <alignment horizontal="center"/>
    </xf>
    <xf numFmtId="43" fontId="28" fillId="0" borderId="0" xfId="0" applyNumberFormat="1" applyFont="1"/>
    <xf numFmtId="2" fontId="0" fillId="0" borderId="0" xfId="0" applyNumberFormat="1"/>
    <xf numFmtId="190" fontId="0" fillId="0" borderId="0" xfId="0" applyNumberFormat="1"/>
    <xf numFmtId="43" fontId="0" fillId="0" borderId="0" xfId="1" applyFont="1"/>
    <xf numFmtId="191" fontId="0" fillId="0" borderId="0" xfId="1" applyNumberFormat="1" applyFont="1"/>
    <xf numFmtId="0" fontId="0" fillId="6" borderId="0" xfId="0" applyFill="1"/>
    <xf numFmtId="190" fontId="0" fillId="14" borderId="0" xfId="0" applyNumberFormat="1" applyFill="1"/>
    <xf numFmtId="192" fontId="0" fillId="0" borderId="0" xfId="0" applyNumberFormat="1"/>
    <xf numFmtId="43" fontId="0" fillId="14" borderId="0" xfId="1" applyFont="1" applyFill="1"/>
    <xf numFmtId="43" fontId="59" fillId="0" borderId="0" xfId="1" applyFont="1"/>
    <xf numFmtId="43" fontId="32" fillId="0" borderId="0" xfId="1" applyFont="1"/>
    <xf numFmtId="0" fontId="46" fillId="0" borderId="0" xfId="2" applyFont="1" applyAlignment="1">
      <alignment vertical="top" wrapText="1"/>
    </xf>
    <xf numFmtId="0" fontId="52" fillId="0" borderId="0" xfId="2" applyFont="1" applyAlignment="1">
      <alignment vertical="top" wrapText="1"/>
    </xf>
    <xf numFmtId="0" fontId="53" fillId="0" borderId="0" xfId="2" applyFont="1" applyAlignment="1">
      <alignment vertical="top" wrapText="1"/>
    </xf>
    <xf numFmtId="0" fontId="46" fillId="0" borderId="2" xfId="2" applyFont="1" applyBorder="1" applyAlignment="1">
      <alignment horizontal="center" vertical="top" wrapText="1"/>
    </xf>
    <xf numFmtId="0" fontId="46" fillId="0" borderId="2" xfId="2" applyFont="1" applyBorder="1" applyAlignment="1">
      <alignment vertical="top" wrapText="1"/>
    </xf>
    <xf numFmtId="0" fontId="47" fillId="0" borderId="0" xfId="2" applyFont="1" applyAlignment="1">
      <alignment vertical="top" wrapText="1"/>
    </xf>
    <xf numFmtId="43" fontId="46" fillId="0" borderId="0" xfId="3" applyFont="1" applyAlignment="1">
      <alignment vertical="top" wrapText="1"/>
    </xf>
    <xf numFmtId="43" fontId="52" fillId="0" borderId="0" xfId="3" applyFont="1" applyAlignment="1">
      <alignment vertical="top" wrapText="1"/>
    </xf>
    <xf numFmtId="0" fontId="64" fillId="0" borderId="0" xfId="0" applyFont="1" applyAlignment="1">
      <alignment horizontal="center" vertical="center"/>
    </xf>
    <xf numFmtId="0" fontId="60" fillId="0" borderId="0" xfId="2" applyFont="1" applyAlignment="1">
      <alignment vertical="top" wrapText="1"/>
    </xf>
    <xf numFmtId="0" fontId="46" fillId="12" borderId="0" xfId="2" applyFont="1" applyFill="1" applyAlignment="1">
      <alignment vertical="top" wrapText="1"/>
    </xf>
    <xf numFmtId="0" fontId="46" fillId="0" borderId="0" xfId="2" applyFont="1" applyAlignment="1">
      <alignment horizontal="center" vertical="top" wrapText="1"/>
    </xf>
    <xf numFmtId="43" fontId="35" fillId="0" borderId="0" xfId="1" applyFont="1" applyAlignment="1">
      <alignment horizontal="center" vertical="top" wrapText="1"/>
    </xf>
    <xf numFmtId="43" fontId="65" fillId="0" borderId="0" xfId="1" applyFont="1" applyAlignment="1">
      <alignment horizontal="center" vertical="top" wrapText="1"/>
    </xf>
    <xf numFmtId="43" fontId="33" fillId="0" borderId="0" xfId="1" applyFont="1" applyAlignment="1">
      <alignment horizontal="right" vertical="top" wrapText="1"/>
    </xf>
    <xf numFmtId="43" fontId="34" fillId="0" borderId="0" xfId="1" applyFont="1" applyBorder="1" applyAlignment="1">
      <alignment horizontal="center" vertical="top" wrapText="1"/>
    </xf>
    <xf numFmtId="43" fontId="48" fillId="0" borderId="0" xfId="1" applyFont="1" applyBorder="1" applyAlignment="1">
      <alignment vertical="top" wrapText="1"/>
    </xf>
    <xf numFmtId="43" fontId="52" fillId="20" borderId="0" xfId="1" applyFont="1" applyFill="1" applyBorder="1" applyAlignment="1">
      <alignment vertical="top" wrapText="1"/>
    </xf>
    <xf numFmtId="43" fontId="48" fillId="12" borderId="0" xfId="1" applyFont="1" applyFill="1" applyBorder="1" applyAlignment="1">
      <alignment vertical="top" wrapText="1"/>
    </xf>
    <xf numFmtId="43" fontId="52" fillId="0" borderId="0" xfId="1" applyFont="1" applyAlignment="1">
      <alignment vertical="top" wrapText="1"/>
    </xf>
    <xf numFmtId="189" fontId="29" fillId="24" borderId="3" xfId="2" applyNumberFormat="1" applyFont="1" applyFill="1" applyBorder="1" applyAlignment="1">
      <alignment horizontal="right" vertical="top" wrapText="1"/>
    </xf>
    <xf numFmtId="189" fontId="29" fillId="24" borderId="9" xfId="2" applyNumberFormat="1" applyFont="1" applyFill="1" applyBorder="1" applyAlignment="1">
      <alignment horizontal="right" vertical="top" wrapText="1"/>
    </xf>
    <xf numFmtId="0" fontId="46" fillId="24" borderId="0" xfId="2" applyFont="1" applyFill="1" applyAlignment="1">
      <alignment vertical="top" wrapText="1"/>
    </xf>
    <xf numFmtId="0" fontId="48" fillId="0" borderId="0" xfId="2" applyFont="1" applyAlignment="1">
      <alignment vertical="top" wrapText="1"/>
    </xf>
    <xf numFmtId="0" fontId="52" fillId="0" borderId="0" xfId="2" applyFont="1" applyAlignment="1">
      <alignment horizontal="left" vertical="top" wrapText="1"/>
    </xf>
    <xf numFmtId="0" fontId="50" fillId="0" borderId="2" xfId="2" applyFont="1" applyBorder="1" applyAlignment="1">
      <alignment vertical="top" wrapText="1"/>
    </xf>
    <xf numFmtId="43" fontId="50" fillId="0" borderId="2" xfId="2" applyNumberFormat="1" applyFont="1" applyBorder="1" applyAlignment="1">
      <alignment vertical="top" wrapText="1"/>
    </xf>
    <xf numFmtId="0" fontId="35" fillId="13" borderId="9" xfId="2" applyFont="1" applyFill="1" applyBorder="1" applyAlignment="1">
      <alignment horizontal="left" vertical="top" wrapText="1"/>
    </xf>
    <xf numFmtId="0" fontId="29" fillId="24" borderId="2" xfId="2" applyFont="1" applyFill="1" applyBorder="1" applyAlignment="1">
      <alignment horizontal="center" vertical="top" wrapText="1"/>
    </xf>
    <xf numFmtId="0" fontId="29" fillId="24" borderId="1" xfId="2" applyFont="1" applyFill="1" applyBorder="1" applyAlignment="1">
      <alignment horizontal="center" vertical="top" wrapText="1"/>
    </xf>
    <xf numFmtId="0" fontId="29" fillId="24" borderId="3" xfId="2" applyFont="1" applyFill="1" applyBorder="1" applyAlignment="1">
      <alignment horizontal="center" vertical="top" wrapText="1"/>
    </xf>
    <xf numFmtId="0" fontId="46" fillId="24" borderId="3" xfId="2" applyFont="1" applyFill="1" applyBorder="1" applyAlignment="1">
      <alignment vertical="top" wrapText="1"/>
    </xf>
    <xf numFmtId="43" fontId="29" fillId="24" borderId="2" xfId="3" applyFont="1" applyFill="1" applyBorder="1" applyAlignment="1">
      <alignment horizontal="center" vertical="top" wrapText="1"/>
    </xf>
    <xf numFmtId="0" fontId="46" fillId="24" borderId="2" xfId="2" applyFont="1" applyFill="1" applyBorder="1" applyAlignment="1">
      <alignment vertical="top" wrapText="1"/>
    </xf>
    <xf numFmtId="0" fontId="29" fillId="24" borderId="2" xfId="2" applyFont="1" applyFill="1" applyBorder="1" applyAlignment="1">
      <alignment horizontal="left" vertical="top" wrapText="1"/>
    </xf>
    <xf numFmtId="43" fontId="46" fillId="24" borderId="2" xfId="2" applyNumberFormat="1" applyFont="1" applyFill="1" applyBorder="1" applyAlignment="1">
      <alignment vertical="top" wrapText="1"/>
    </xf>
    <xf numFmtId="0" fontId="51" fillId="12" borderId="2" xfId="2" applyFont="1" applyFill="1" applyBorder="1" applyAlignment="1">
      <alignment vertical="top" wrapText="1"/>
    </xf>
    <xf numFmtId="0" fontId="51" fillId="12" borderId="2" xfId="2" applyFont="1" applyFill="1" applyBorder="1" applyAlignment="1">
      <alignment horizontal="left" vertical="top" wrapText="1"/>
    </xf>
    <xf numFmtId="43" fontId="51" fillId="12" borderId="2" xfId="1" applyFont="1" applyFill="1" applyBorder="1" applyAlignment="1">
      <alignment vertical="top" wrapText="1"/>
    </xf>
    <xf numFmtId="2" fontId="51" fillId="12" borderId="2" xfId="2" applyNumberFormat="1" applyFont="1" applyFill="1" applyBorder="1" applyAlignment="1">
      <alignment horizontal="center" vertical="top" wrapText="1"/>
    </xf>
    <xf numFmtId="43" fontId="51" fillId="12" borderId="2" xfId="1" applyFont="1" applyFill="1" applyBorder="1" applyAlignment="1">
      <alignment horizontal="center" vertical="top" wrapText="1"/>
    </xf>
    <xf numFmtId="189" fontId="51" fillId="0" borderId="2" xfId="2" applyNumberFormat="1" applyFont="1" applyBorder="1" applyAlignment="1">
      <alignment horizontal="right" vertical="top" wrapText="1"/>
    </xf>
    <xf numFmtId="0" fontId="51" fillId="0" borderId="2" xfId="2" applyFont="1" applyBorder="1" applyAlignment="1">
      <alignment vertical="top" wrapText="1"/>
    </xf>
    <xf numFmtId="43" fontId="51" fillId="0" borderId="2" xfId="1" applyFont="1" applyBorder="1" applyAlignment="1">
      <alignment vertical="top" wrapText="1"/>
    </xf>
    <xf numFmtId="43" fontId="51" fillId="0" borderId="2" xfId="3" applyFont="1" applyBorder="1" applyAlignment="1">
      <alignment vertical="top" wrapText="1"/>
    </xf>
    <xf numFmtId="189" fontId="51" fillId="12" borderId="2" xfId="2" applyNumberFormat="1" applyFont="1" applyFill="1" applyBorder="1" applyAlignment="1">
      <alignment horizontal="right" vertical="top" wrapText="1"/>
    </xf>
    <xf numFmtId="0" fontId="51" fillId="12" borderId="2" xfId="2" applyFont="1" applyFill="1" applyBorder="1" applyAlignment="1">
      <alignment horizontal="center" vertical="top" wrapText="1"/>
    </xf>
    <xf numFmtId="43" fontId="51" fillId="12" borderId="2" xfId="2" applyNumberFormat="1" applyFont="1" applyFill="1" applyBorder="1" applyAlignment="1">
      <alignment horizontal="center" vertical="top" wrapText="1"/>
    </xf>
    <xf numFmtId="43" fontId="50" fillId="12" borderId="2" xfId="1" applyFont="1" applyFill="1" applyBorder="1" applyAlignment="1">
      <alignment vertical="top" wrapText="1"/>
    </xf>
    <xf numFmtId="0" fontId="0" fillId="0" borderId="0" xfId="0" applyAlignment="1">
      <alignment horizontal="center" vertical="center"/>
    </xf>
    <xf numFmtId="0" fontId="41" fillId="0" borderId="0" xfId="0" applyFont="1" applyAlignment="1">
      <alignment horizontal="center"/>
    </xf>
    <xf numFmtId="0" fontId="67" fillId="0" borderId="0" xfId="0" applyFont="1" applyAlignment="1">
      <alignment horizontal="center" vertical="center"/>
    </xf>
    <xf numFmtId="0" fontId="69" fillId="25" borderId="0" xfId="0" applyFont="1" applyFill="1" applyAlignment="1">
      <alignment horizontal="center" vertical="center"/>
    </xf>
    <xf numFmtId="43" fontId="28" fillId="0" borderId="0" xfId="1" applyFont="1"/>
    <xf numFmtId="0" fontId="33" fillId="0" borderId="0" xfId="2" applyFont="1" applyAlignment="1">
      <alignment vertical="top" wrapText="1"/>
    </xf>
    <xf numFmtId="4" fontId="75" fillId="0" borderId="0" xfId="0" applyNumberFormat="1" applyFont="1" applyAlignment="1">
      <alignment horizontal="center" vertical="center"/>
    </xf>
    <xf numFmtId="4" fontId="23" fillId="0" borderId="0" xfId="0" applyNumberFormat="1" applyFont="1" applyAlignment="1">
      <alignment horizontal="center" vertical="center"/>
    </xf>
    <xf numFmtId="3" fontId="35" fillId="9" borderId="1" xfId="0" applyNumberFormat="1" applyFont="1" applyFill="1" applyBorder="1" applyAlignment="1">
      <alignment horizontal="center" vertical="top" wrapText="1"/>
    </xf>
    <xf numFmtId="4" fontId="35" fillId="15" borderId="1" xfId="0" applyNumberFormat="1" applyFont="1" applyFill="1" applyBorder="1" applyAlignment="1">
      <alignment horizontal="center" vertical="top" wrapText="1"/>
    </xf>
    <xf numFmtId="4" fontId="35" fillId="15" borderId="9" xfId="0" applyNumberFormat="1" applyFont="1" applyFill="1" applyBorder="1" applyAlignment="1">
      <alignment horizontal="center" vertical="top" wrapText="1"/>
    </xf>
    <xf numFmtId="4" fontId="25" fillId="15" borderId="0" xfId="0" applyNumberFormat="1" applyFont="1" applyFill="1"/>
    <xf numFmtId="0" fontId="24" fillId="15" borderId="0" xfId="0" applyFont="1" applyFill="1"/>
    <xf numFmtId="0" fontId="29" fillId="16" borderId="2" xfId="0" applyFont="1" applyFill="1" applyBorder="1" applyAlignment="1">
      <alignment horizontal="center" vertical="top"/>
    </xf>
    <xf numFmtId="0" fontId="57" fillId="16" borderId="2" xfId="0" applyFont="1" applyFill="1" applyBorder="1" applyAlignment="1">
      <alignment horizontal="center" vertical="top" wrapText="1"/>
    </xf>
    <xf numFmtId="4" fontId="30" fillId="16" borderId="9" xfId="0" applyNumberFormat="1" applyFont="1" applyFill="1" applyBorder="1" applyAlignment="1">
      <alignment horizontal="center" vertical="top" wrapText="1"/>
    </xf>
    <xf numFmtId="4" fontId="30" fillId="16" borderId="9" xfId="0" applyNumberFormat="1" applyFont="1" applyFill="1" applyBorder="1" applyAlignment="1">
      <alignment horizontal="left" vertical="top" wrapText="1"/>
    </xf>
    <xf numFmtId="4" fontId="25" fillId="16" borderId="0" xfId="0" applyNumberFormat="1" applyFont="1" applyFill="1" applyAlignment="1">
      <alignment vertical="top"/>
    </xf>
    <xf numFmtId="0" fontId="41" fillId="16" borderId="0" xfId="0" applyFont="1" applyFill="1" applyAlignment="1">
      <alignment vertical="top"/>
    </xf>
    <xf numFmtId="0" fontId="30" fillId="5" borderId="2" xfId="0" applyFont="1" applyFill="1" applyBorder="1" applyAlignment="1">
      <alignment horizontal="center" vertical="top" wrapText="1"/>
    </xf>
    <xf numFmtId="0" fontId="75" fillId="5" borderId="2" xfId="0" applyFont="1" applyFill="1" applyBorder="1" applyAlignment="1">
      <alignment horizontal="left" vertical="top" wrapText="1"/>
    </xf>
    <xf numFmtId="0" fontId="24" fillId="0" borderId="0" xfId="0" applyFont="1" applyAlignment="1">
      <alignment vertical="top"/>
    </xf>
    <xf numFmtId="0" fontId="46" fillId="12" borderId="2" xfId="0" applyFont="1" applyFill="1" applyBorder="1" applyAlignment="1">
      <alignment horizontal="center" vertical="top" wrapText="1"/>
    </xf>
    <xf numFmtId="0" fontId="39" fillId="12" borderId="2" xfId="0" quotePrefix="1" applyFont="1" applyFill="1" applyBorder="1" applyAlignment="1">
      <alignment horizontal="left" vertical="top" wrapText="1"/>
    </xf>
    <xf numFmtId="0" fontId="39" fillId="12" borderId="2" xfId="0" applyFont="1" applyFill="1" applyBorder="1" applyAlignment="1">
      <alignment horizontal="left" vertical="top" wrapText="1"/>
    </xf>
    <xf numFmtId="0" fontId="29" fillId="5" borderId="2" xfId="0" applyFont="1" applyFill="1" applyBorder="1" applyAlignment="1">
      <alignment horizontal="center" vertical="top" wrapText="1"/>
    </xf>
    <xf numFmtId="0" fontId="57" fillId="5" borderId="2" xfId="0" applyFont="1" applyFill="1" applyBorder="1" applyAlignment="1">
      <alignment horizontal="left" vertical="top" wrapText="1"/>
    </xf>
    <xf numFmtId="0" fontId="48" fillId="12" borderId="2" xfId="0" applyFont="1" applyFill="1" applyBorder="1" applyAlignment="1">
      <alignment horizontal="center" vertical="top" wrapText="1"/>
    </xf>
    <xf numFmtId="0" fontId="57" fillId="12" borderId="2" xfId="0" applyFont="1" applyFill="1" applyBorder="1" applyAlignment="1">
      <alignment horizontal="left" vertical="top" wrapText="1"/>
    </xf>
    <xf numFmtId="0" fontId="33" fillId="5" borderId="2" xfId="0" applyFont="1" applyFill="1" applyBorder="1" applyAlignment="1">
      <alignment horizontal="center" vertical="top" wrapText="1"/>
    </xf>
    <xf numFmtId="0" fontId="33" fillId="5" borderId="9" xfId="1" applyNumberFormat="1" applyFont="1" applyFill="1" applyBorder="1" applyAlignment="1">
      <alignment horizontal="left" vertical="top" wrapText="1"/>
    </xf>
    <xf numFmtId="0" fontId="29" fillId="13" borderId="2" xfId="0" applyFont="1" applyFill="1" applyBorder="1" applyAlignment="1">
      <alignment horizontal="center" vertical="top"/>
    </xf>
    <xf numFmtId="0" fontId="57" fillId="13" borderId="2" xfId="0" applyFont="1" applyFill="1" applyBorder="1" applyAlignment="1">
      <alignment horizontal="left" vertical="top" wrapText="1"/>
    </xf>
    <xf numFmtId="0" fontId="57" fillId="13" borderId="2" xfId="0" applyFont="1" applyFill="1" applyBorder="1" applyAlignment="1">
      <alignment horizontal="center" vertical="top" wrapText="1"/>
    </xf>
    <xf numFmtId="0" fontId="46" fillId="13" borderId="0" xfId="0" applyFont="1" applyFill="1" applyAlignment="1">
      <alignment vertical="top"/>
    </xf>
    <xf numFmtId="0" fontId="29" fillId="12" borderId="2" xfId="0" applyFont="1" applyFill="1" applyBorder="1" applyAlignment="1">
      <alignment horizontal="center" vertical="top" wrapText="1"/>
    </xf>
    <xf numFmtId="0" fontId="29" fillId="19" borderId="2" xfId="0" applyFont="1" applyFill="1" applyBorder="1" applyAlignment="1">
      <alignment horizontal="center" vertical="top"/>
    </xf>
    <xf numFmtId="0" fontId="57" fillId="19" borderId="2" xfId="0" applyFont="1" applyFill="1" applyBorder="1" applyAlignment="1">
      <alignment horizontal="center" vertical="top" wrapText="1"/>
    </xf>
    <xf numFmtId="4" fontId="29" fillId="19" borderId="9" xfId="0" applyNumberFormat="1" applyFont="1" applyFill="1" applyBorder="1" applyAlignment="1">
      <alignment horizontal="right" vertical="top" wrapText="1"/>
    </xf>
    <xf numFmtId="0" fontId="46" fillId="19" borderId="0" xfId="0" applyFont="1" applyFill="1" applyAlignment="1">
      <alignment vertical="top"/>
    </xf>
    <xf numFmtId="0" fontId="29" fillId="17" borderId="2" xfId="0" applyFont="1" applyFill="1" applyBorder="1" applyAlignment="1">
      <alignment horizontal="center" vertical="top" wrapText="1"/>
    </xf>
    <xf numFmtId="0" fontId="57" fillId="17" borderId="2" xfId="0" applyFont="1" applyFill="1" applyBorder="1" applyAlignment="1">
      <alignment horizontal="left" vertical="top" wrapText="1"/>
    </xf>
    <xf numFmtId="43" fontId="51" fillId="12" borderId="9" xfId="1" applyFont="1" applyFill="1" applyBorder="1" applyAlignment="1">
      <alignment horizontal="center" vertical="top" wrapText="1"/>
    </xf>
    <xf numFmtId="0" fontId="51" fillId="12" borderId="9" xfId="1" applyNumberFormat="1" applyFont="1" applyFill="1" applyBorder="1" applyAlignment="1">
      <alignment horizontal="center" vertical="top" wrapText="1"/>
    </xf>
    <xf numFmtId="4" fontId="51" fillId="12" borderId="9" xfId="1" applyNumberFormat="1" applyFont="1" applyFill="1" applyBorder="1" applyAlignment="1">
      <alignment horizontal="center" vertical="top" wrapText="1"/>
    </xf>
    <xf numFmtId="0" fontId="42" fillId="12" borderId="2" xfId="0" applyFont="1" applyFill="1" applyBorder="1" applyAlignment="1">
      <alignment horizontal="center" vertical="top" wrapText="1"/>
    </xf>
    <xf numFmtId="0" fontId="44" fillId="12" borderId="2" xfId="0" applyFont="1" applyFill="1" applyBorder="1" applyAlignment="1">
      <alignment horizontal="left" vertical="top" wrapText="1"/>
    </xf>
    <xf numFmtId="0" fontId="42" fillId="12" borderId="9" xfId="1" applyNumberFormat="1" applyFont="1" applyFill="1" applyBorder="1" applyAlignment="1">
      <alignment horizontal="left" vertical="top" wrapText="1"/>
    </xf>
    <xf numFmtId="0" fontId="42" fillId="12" borderId="0" xfId="0" applyFont="1" applyFill="1" applyAlignment="1">
      <alignment vertical="top"/>
    </xf>
    <xf numFmtId="0" fontId="46" fillId="0" borderId="2" xfId="0" applyFont="1" applyBorder="1" applyAlignment="1">
      <alignment horizontal="center" vertical="top" wrapText="1"/>
    </xf>
    <xf numFmtId="0" fontId="39" fillId="0" borderId="2" xfId="0" applyFont="1" applyBorder="1" applyAlignment="1">
      <alignment horizontal="left" vertical="top" wrapText="1"/>
    </xf>
    <xf numFmtId="0" fontId="42" fillId="0" borderId="2" xfId="0" applyFont="1" applyBorder="1" applyAlignment="1">
      <alignment horizontal="center" vertical="top" wrapText="1"/>
    </xf>
    <xf numFmtId="0" fontId="44" fillId="0" borderId="2" xfId="0" applyFont="1" applyBorder="1" applyAlignment="1">
      <alignment horizontal="left" vertical="top" wrapText="1"/>
    </xf>
    <xf numFmtId="0" fontId="66" fillId="0" borderId="9" xfId="1" applyNumberFormat="1" applyFont="1" applyBorder="1" applyAlignment="1">
      <alignment horizontal="left" vertical="top" wrapText="1"/>
    </xf>
    <xf numFmtId="43" fontId="66" fillId="0" borderId="9" xfId="1" applyFont="1" applyBorder="1" applyAlignment="1">
      <alignment horizontal="left" vertical="top" wrapText="1"/>
    </xf>
    <xf numFmtId="0" fontId="42" fillId="0" borderId="0" xfId="0" applyFont="1" applyAlignment="1">
      <alignment vertical="top"/>
    </xf>
    <xf numFmtId="0" fontId="29" fillId="9" borderId="2" xfId="0" applyFont="1" applyFill="1" applyBorder="1" applyAlignment="1">
      <alignment horizontal="center" vertical="top"/>
    </xf>
    <xf numFmtId="0" fontId="26" fillId="9" borderId="2" xfId="0" applyFont="1" applyFill="1" applyBorder="1" applyAlignment="1">
      <alignment horizontal="left" vertical="top" wrapText="1"/>
    </xf>
    <xf numFmtId="0" fontId="57" fillId="9" borderId="2" xfId="0" applyFont="1" applyFill="1" applyBorder="1" applyAlignment="1">
      <alignment horizontal="center" vertical="top" wrapText="1"/>
    </xf>
    <xf numFmtId="3" fontId="29" fillId="9" borderId="9" xfId="0" applyNumberFormat="1" applyFont="1" applyFill="1" applyBorder="1" applyAlignment="1">
      <alignment horizontal="center" vertical="top" wrapText="1"/>
    </xf>
    <xf numFmtId="0" fontId="46" fillId="9" borderId="0" xfId="0" applyFont="1" applyFill="1" applyAlignment="1">
      <alignment vertical="top"/>
    </xf>
    <xf numFmtId="0" fontId="29" fillId="5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left" vertical="top" wrapText="1"/>
    </xf>
    <xf numFmtId="4" fontId="57" fillId="5" borderId="4" xfId="1" applyNumberFormat="1" applyFont="1" applyFill="1" applyBorder="1" applyAlignment="1">
      <alignment horizontal="right" vertical="top" wrapText="1"/>
    </xf>
    <xf numFmtId="0" fontId="57" fillId="5" borderId="4" xfId="1" applyNumberFormat="1" applyFont="1" applyFill="1" applyBorder="1" applyAlignment="1">
      <alignment horizontal="center" vertical="top" wrapText="1"/>
    </xf>
    <xf numFmtId="0" fontId="57" fillId="5" borderId="4" xfId="1" applyNumberFormat="1" applyFont="1" applyFill="1" applyBorder="1" applyAlignment="1">
      <alignment horizontal="right" vertical="top" wrapText="1"/>
    </xf>
    <xf numFmtId="0" fontId="57" fillId="5" borderId="4" xfId="1" applyNumberFormat="1" applyFont="1" applyFill="1" applyBorder="1" applyAlignment="1">
      <alignment horizontal="left" vertical="top" wrapText="1"/>
    </xf>
    <xf numFmtId="0" fontId="39" fillId="0" borderId="5" xfId="0" applyFont="1" applyBorder="1" applyAlignment="1">
      <alignment horizontal="left" vertical="top" wrapText="1"/>
    </xf>
    <xf numFmtId="4" fontId="39" fillId="0" borderId="5" xfId="1" applyNumberFormat="1" applyFont="1" applyBorder="1" applyAlignment="1">
      <alignment horizontal="right" vertical="top" wrapText="1"/>
    </xf>
    <xf numFmtId="0" fontId="39" fillId="0" borderId="5" xfId="1" applyNumberFormat="1" applyFont="1" applyBorder="1" applyAlignment="1">
      <alignment horizontal="center" vertical="top" wrapText="1"/>
    </xf>
    <xf numFmtId="0" fontId="39" fillId="0" borderId="5" xfId="1" applyNumberFormat="1" applyFont="1" applyBorder="1" applyAlignment="1">
      <alignment horizontal="right" vertical="top" wrapText="1"/>
    </xf>
    <xf numFmtId="0" fontId="39" fillId="0" borderId="5" xfId="1" applyNumberFormat="1" applyFont="1" applyBorder="1" applyAlignment="1">
      <alignment horizontal="left" vertical="top" wrapText="1"/>
    </xf>
    <xf numFmtId="0" fontId="57" fillId="5" borderId="5" xfId="0" applyFont="1" applyFill="1" applyBorder="1" applyAlignment="1">
      <alignment horizontal="left" vertical="top" wrapText="1"/>
    </xf>
    <xf numFmtId="4" fontId="57" fillId="5" borderId="5" xfId="1" applyNumberFormat="1" applyFont="1" applyFill="1" applyBorder="1" applyAlignment="1">
      <alignment horizontal="right" vertical="top" wrapText="1"/>
    </xf>
    <xf numFmtId="0" fontId="57" fillId="5" borderId="5" xfId="1" applyNumberFormat="1" applyFont="1" applyFill="1" applyBorder="1" applyAlignment="1">
      <alignment horizontal="center" vertical="top" wrapText="1"/>
    </xf>
    <xf numFmtId="0" fontId="57" fillId="5" borderId="5" xfId="1" applyNumberFormat="1" applyFont="1" applyFill="1" applyBorder="1" applyAlignment="1">
      <alignment horizontal="right" vertical="top" wrapText="1"/>
    </xf>
    <xf numFmtId="0" fontId="57" fillId="5" borderId="5" xfId="1" applyNumberFormat="1" applyFont="1" applyFill="1" applyBorder="1" applyAlignment="1">
      <alignment horizontal="left" vertical="top" wrapText="1"/>
    </xf>
    <xf numFmtId="0" fontId="48" fillId="0" borderId="5" xfId="0" applyFont="1" applyBorder="1" applyAlignment="1">
      <alignment horizontal="center" vertical="top" wrapText="1"/>
    </xf>
    <xf numFmtId="0" fontId="30" fillId="6" borderId="3" xfId="0" applyFont="1" applyFill="1" applyBorder="1" applyAlignment="1">
      <alignment horizontal="center" vertical="top" wrapText="1"/>
    </xf>
    <xf numFmtId="0" fontId="75" fillId="6" borderId="3" xfId="0" applyFont="1" applyFill="1" applyBorder="1" applyAlignment="1">
      <alignment horizontal="center" vertical="top" wrapText="1"/>
    </xf>
    <xf numFmtId="0" fontId="75" fillId="6" borderId="3" xfId="0" applyFont="1" applyFill="1" applyBorder="1" applyAlignment="1">
      <alignment horizontal="left" vertical="top" wrapText="1"/>
    </xf>
    <xf numFmtId="4" fontId="75" fillId="6" borderId="3" xfId="1" applyNumberFormat="1" applyFont="1" applyFill="1" applyBorder="1" applyAlignment="1">
      <alignment horizontal="right" vertical="top" wrapText="1"/>
    </xf>
    <xf numFmtId="0" fontId="75" fillId="6" borderId="3" xfId="1" applyNumberFormat="1" applyFont="1" applyFill="1" applyBorder="1" applyAlignment="1">
      <alignment horizontal="center" vertical="top" wrapText="1"/>
    </xf>
    <xf numFmtId="0" fontId="75" fillId="6" borderId="3" xfId="1" applyNumberFormat="1" applyFont="1" applyFill="1" applyBorder="1" applyAlignment="1">
      <alignment horizontal="right" vertical="top" wrapText="1"/>
    </xf>
    <xf numFmtId="4" fontId="57" fillId="6" borderId="3" xfId="1" applyNumberFormat="1" applyFont="1" applyFill="1" applyBorder="1" applyAlignment="1">
      <alignment horizontal="right" vertical="top" wrapText="1"/>
    </xf>
    <xf numFmtId="0" fontId="75" fillId="6" borderId="3" xfId="1" applyNumberFormat="1" applyFont="1" applyFill="1" applyBorder="1" applyAlignment="1">
      <alignment horizontal="left" vertical="top" wrapText="1"/>
    </xf>
    <xf numFmtId="0" fontId="30" fillId="6" borderId="0" xfId="1" applyNumberFormat="1" applyFont="1" applyFill="1" applyBorder="1" applyAlignment="1">
      <alignment horizontal="left" vertical="top" wrapText="1"/>
    </xf>
    <xf numFmtId="0" fontId="75" fillId="0" borderId="0" xfId="0" applyFont="1" applyAlignment="1">
      <alignment vertical="top"/>
    </xf>
    <xf numFmtId="4" fontId="28" fillId="0" borderId="0" xfId="0" applyNumberFormat="1" applyFont="1"/>
    <xf numFmtId="0" fontId="28" fillId="0" borderId="0" xfId="0" applyFont="1" applyAlignment="1">
      <alignment horizontal="center"/>
    </xf>
    <xf numFmtId="0" fontId="57" fillId="0" borderId="2" xfId="0" applyFont="1" applyBorder="1" applyAlignment="1">
      <alignment horizontal="center" vertical="top"/>
    </xf>
    <xf numFmtId="0" fontId="57" fillId="0" borderId="2" xfId="0" applyFont="1" applyBorder="1" applyAlignment="1">
      <alignment vertical="top"/>
    </xf>
    <xf numFmtId="3" fontId="39" fillId="0" borderId="2" xfId="0" applyNumberFormat="1" applyFont="1" applyBorder="1" applyAlignment="1">
      <alignment horizontal="center" vertical="top"/>
    </xf>
    <xf numFmtId="4" fontId="39" fillId="0" borderId="2" xfId="0" applyNumberFormat="1" applyFont="1" applyBorder="1" applyAlignment="1">
      <alignment horizontal="center" vertical="top"/>
    </xf>
    <xf numFmtId="43" fontId="39" fillId="0" borderId="2" xfId="1" applyFont="1" applyBorder="1" applyAlignment="1">
      <alignment horizontal="center" vertical="top"/>
    </xf>
    <xf numFmtId="0" fontId="75" fillId="0" borderId="0" xfId="0" applyFont="1"/>
    <xf numFmtId="43" fontId="75" fillId="0" borderId="0" xfId="0" applyNumberFormat="1" applyFont="1"/>
    <xf numFmtId="43" fontId="75" fillId="0" borderId="0" xfId="1" applyFont="1" applyAlignment="1">
      <alignment vertical="top"/>
    </xf>
    <xf numFmtId="43" fontId="22" fillId="0" borderId="0" xfId="1" applyFont="1" applyAlignment="1">
      <alignment vertical="top"/>
    </xf>
    <xf numFmtId="43" fontId="22" fillId="14" borderId="0" xfId="1" applyFont="1" applyFill="1" applyAlignment="1">
      <alignment vertical="center"/>
    </xf>
    <xf numFmtId="43" fontId="22" fillId="14" borderId="0" xfId="1" applyFont="1" applyFill="1"/>
    <xf numFmtId="43" fontId="28" fillId="14" borderId="0" xfId="1" applyFont="1" applyFill="1"/>
    <xf numFmtId="0" fontId="28" fillId="14" borderId="0" xfId="0" applyFont="1" applyFill="1"/>
    <xf numFmtId="0" fontId="28" fillId="14" borderId="0" xfId="0" applyFont="1" applyFill="1" applyAlignment="1">
      <alignment horizontal="center"/>
    </xf>
    <xf numFmtId="43" fontId="75" fillId="14" borderId="0" xfId="0" applyNumberFormat="1" applyFont="1" applyFill="1"/>
    <xf numFmtId="43" fontId="28" fillId="14" borderId="0" xfId="0" applyNumberFormat="1" applyFont="1" applyFill="1"/>
    <xf numFmtId="43" fontId="75" fillId="0" borderId="0" xfId="1" applyFont="1" applyAlignment="1">
      <alignment vertical="top" wrapText="1"/>
    </xf>
    <xf numFmtId="43" fontId="75" fillId="0" borderId="0" xfId="1" applyFont="1"/>
    <xf numFmtId="43" fontId="75" fillId="0" borderId="0" xfId="1" applyFont="1" applyAlignment="1">
      <alignment horizontal="center"/>
    </xf>
    <xf numFmtId="0" fontId="75" fillId="0" borderId="0" xfId="0" applyFont="1" applyAlignment="1">
      <alignment horizontal="center"/>
    </xf>
    <xf numFmtId="43" fontId="22" fillId="0" borderId="0" xfId="1" applyFont="1" applyAlignment="1">
      <alignment horizontal="right"/>
    </xf>
    <xf numFmtId="43" fontId="22" fillId="0" borderId="0" xfId="1" applyFont="1"/>
    <xf numFmtId="43" fontId="75" fillId="6" borderId="0" xfId="0" applyNumberFormat="1" applyFont="1" applyFill="1"/>
    <xf numFmtId="2" fontId="28" fillId="0" borderId="0" xfId="0" applyNumberFormat="1" applyFont="1"/>
    <xf numFmtId="43" fontId="28" fillId="6" borderId="0" xfId="1" applyFont="1" applyFill="1"/>
    <xf numFmtId="0" fontId="24" fillId="6" borderId="0" xfId="0" applyFont="1" applyFill="1" applyAlignment="1">
      <alignment horizontal="center"/>
    </xf>
    <xf numFmtId="0" fontId="28" fillId="6" borderId="0" xfId="0" applyFont="1" applyFill="1"/>
    <xf numFmtId="0" fontId="28" fillId="6" borderId="0" xfId="0" applyFont="1" applyFill="1" applyAlignment="1">
      <alignment horizontal="center"/>
    </xf>
    <xf numFmtId="0" fontId="24" fillId="6" borderId="0" xfId="0" applyFont="1" applyFill="1"/>
    <xf numFmtId="43" fontId="25" fillId="20" borderId="0" xfId="0" applyNumberFormat="1" applyFont="1" applyFill="1"/>
    <xf numFmtId="4" fontId="59" fillId="0" borderId="0" xfId="0" applyNumberFormat="1" applyFont="1"/>
    <xf numFmtId="0" fontId="59" fillId="0" borderId="0" xfId="0" applyFont="1"/>
    <xf numFmtId="0" fontId="59" fillId="0" borderId="0" xfId="0" applyFont="1" applyAlignment="1">
      <alignment horizontal="center"/>
    </xf>
    <xf numFmtId="4" fontId="36" fillId="16" borderId="2" xfId="0" applyNumberFormat="1" applyFont="1" applyFill="1" applyBorder="1" applyAlignment="1">
      <alignment horizontal="center" vertical="top" wrapText="1"/>
    </xf>
    <xf numFmtId="4" fontId="38" fillId="5" borderId="2" xfId="0" applyNumberFormat="1" applyFont="1" applyFill="1" applyBorder="1" applyAlignment="1">
      <alignment horizontal="right" vertical="top" wrapText="1"/>
    </xf>
    <xf numFmtId="0" fontId="38" fillId="5" borderId="2" xfId="0" applyFont="1" applyFill="1" applyBorder="1" applyAlignment="1">
      <alignment horizontal="center" vertical="top" wrapText="1"/>
    </xf>
    <xf numFmtId="0" fontId="38" fillId="5" borderId="2" xfId="0" applyFont="1" applyFill="1" applyBorder="1" applyAlignment="1">
      <alignment horizontal="right" vertical="top" wrapText="1"/>
    </xf>
    <xf numFmtId="4" fontId="38" fillId="3" borderId="2" xfId="0" applyNumberFormat="1" applyFont="1" applyFill="1" applyBorder="1" applyAlignment="1">
      <alignment horizontal="right" vertical="top" wrapText="1"/>
    </xf>
    <xf numFmtId="4" fontId="49" fillId="12" borderId="2" xfId="1" applyNumberFormat="1" applyFont="1" applyFill="1" applyBorder="1" applyAlignment="1">
      <alignment horizontal="right" vertical="top" wrapText="1"/>
    </xf>
    <xf numFmtId="0" fontId="49" fillId="12" borderId="2" xfId="1" applyNumberFormat="1" applyFont="1" applyFill="1" applyBorder="1" applyAlignment="1">
      <alignment horizontal="center" vertical="top" wrapText="1"/>
    </xf>
    <xf numFmtId="0" fontId="49" fillId="12" borderId="2" xfId="1" applyNumberFormat="1" applyFont="1" applyFill="1" applyBorder="1" applyAlignment="1">
      <alignment horizontal="right" vertical="top" wrapText="1"/>
    </xf>
    <xf numFmtId="4" fontId="49" fillId="3" borderId="2" xfId="1" applyNumberFormat="1" applyFont="1" applyFill="1" applyBorder="1" applyAlignment="1">
      <alignment horizontal="right" vertical="top" wrapText="1"/>
    </xf>
    <xf numFmtId="4" fontId="36" fillId="5" borderId="2" xfId="1" applyNumberFormat="1" applyFont="1" applyFill="1" applyBorder="1" applyAlignment="1">
      <alignment horizontal="right" vertical="top" wrapText="1"/>
    </xf>
    <xf numFmtId="0" fontId="36" fillId="5" borderId="2" xfId="1" applyNumberFormat="1" applyFont="1" applyFill="1" applyBorder="1" applyAlignment="1">
      <alignment horizontal="center" vertical="top" wrapText="1"/>
    </xf>
    <xf numFmtId="0" fontId="36" fillId="5" borderId="2" xfId="1" applyNumberFormat="1" applyFont="1" applyFill="1" applyBorder="1" applyAlignment="1">
      <alignment horizontal="right" vertical="top" wrapText="1"/>
    </xf>
    <xf numFmtId="4" fontId="36" fillId="3" borderId="2" xfId="1" applyNumberFormat="1" applyFont="1" applyFill="1" applyBorder="1" applyAlignment="1">
      <alignment horizontal="right" vertical="top" wrapText="1"/>
    </xf>
    <xf numFmtId="4" fontId="36" fillId="17" borderId="2" xfId="1" applyNumberFormat="1" applyFont="1" applyFill="1" applyBorder="1" applyAlignment="1">
      <alignment horizontal="right" vertical="top" wrapText="1"/>
    </xf>
    <xf numFmtId="4" fontId="57" fillId="13" borderId="2" xfId="0" applyNumberFormat="1" applyFont="1" applyFill="1" applyBorder="1" applyAlignment="1">
      <alignment horizontal="center" vertical="top" wrapText="1"/>
    </xf>
    <xf numFmtId="4" fontId="57" fillId="12" borderId="2" xfId="1" applyNumberFormat="1" applyFont="1" applyFill="1" applyBorder="1" applyAlignment="1">
      <alignment horizontal="right" vertical="top" wrapText="1"/>
    </xf>
    <xf numFmtId="4" fontId="57" fillId="3" borderId="2" xfId="1" applyNumberFormat="1" applyFont="1" applyFill="1" applyBorder="1" applyAlignment="1">
      <alignment horizontal="right" vertical="top" wrapText="1"/>
    </xf>
    <xf numFmtId="4" fontId="39" fillId="12" borderId="2" xfId="1" applyNumberFormat="1" applyFont="1" applyFill="1" applyBorder="1" applyAlignment="1">
      <alignment horizontal="right" vertical="top" wrapText="1"/>
    </xf>
    <xf numFmtId="0" fontId="39" fillId="12" borderId="2" xfId="1" applyNumberFormat="1" applyFont="1" applyFill="1" applyBorder="1" applyAlignment="1">
      <alignment horizontal="center" vertical="top" wrapText="1"/>
    </xf>
    <xf numFmtId="0" fontId="39" fillId="12" borderId="2" xfId="1" applyNumberFormat="1" applyFont="1" applyFill="1" applyBorder="1" applyAlignment="1">
      <alignment horizontal="right" vertical="top" wrapText="1"/>
    </xf>
    <xf numFmtId="4" fontId="39" fillId="3" borderId="2" xfId="1" applyNumberFormat="1" applyFont="1" applyFill="1" applyBorder="1" applyAlignment="1">
      <alignment horizontal="right" vertical="top" wrapText="1"/>
    </xf>
    <xf numFmtId="0" fontId="57" fillId="12" borderId="2" xfId="1" applyNumberFormat="1" applyFont="1" applyFill="1" applyBorder="1" applyAlignment="1">
      <alignment horizontal="center" vertical="top" wrapText="1"/>
    </xf>
    <xf numFmtId="0" fontId="57" fillId="12" borderId="2" xfId="1" applyNumberFormat="1" applyFont="1" applyFill="1" applyBorder="1" applyAlignment="1">
      <alignment horizontal="right" vertical="top" wrapText="1"/>
    </xf>
    <xf numFmtId="4" fontId="57" fillId="19" borderId="2" xfId="0" applyNumberFormat="1" applyFont="1" applyFill="1" applyBorder="1" applyAlignment="1">
      <alignment horizontal="right" vertical="top" wrapText="1"/>
    </xf>
    <xf numFmtId="4" fontId="57" fillId="19" borderId="2" xfId="0" applyNumberFormat="1" applyFont="1" applyFill="1" applyBorder="1" applyAlignment="1">
      <alignment horizontal="center" vertical="top" wrapText="1"/>
    </xf>
    <xf numFmtId="4" fontId="57" fillId="13" borderId="2" xfId="0" applyNumberFormat="1" applyFont="1" applyFill="1" applyBorder="1" applyAlignment="1">
      <alignment horizontal="right" vertical="top" wrapText="1"/>
    </xf>
    <xf numFmtId="3" fontId="57" fillId="13" borderId="2" xfId="0" applyNumberFormat="1" applyFont="1" applyFill="1" applyBorder="1" applyAlignment="1">
      <alignment horizontal="center" vertical="top" wrapText="1"/>
    </xf>
    <xf numFmtId="43" fontId="57" fillId="13" borderId="2" xfId="1" applyFont="1" applyFill="1" applyBorder="1" applyAlignment="1">
      <alignment horizontal="center" vertical="top" wrapText="1"/>
    </xf>
    <xf numFmtId="43" fontId="57" fillId="3" borderId="2" xfId="1" applyFont="1" applyFill="1" applyBorder="1" applyAlignment="1">
      <alignment horizontal="center" vertical="top" wrapText="1"/>
    </xf>
    <xf numFmtId="4" fontId="57" fillId="17" borderId="2" xfId="1" applyNumberFormat="1" applyFont="1" applyFill="1" applyBorder="1" applyAlignment="1">
      <alignment horizontal="right" vertical="top" wrapText="1"/>
    </xf>
    <xf numFmtId="0" fontId="57" fillId="17" borderId="2" xfId="1" applyNumberFormat="1" applyFont="1" applyFill="1" applyBorder="1" applyAlignment="1">
      <alignment horizontal="center" vertical="top" wrapText="1"/>
    </xf>
    <xf numFmtId="0" fontId="57" fillId="17" borderId="2" xfId="1" applyNumberFormat="1" applyFont="1" applyFill="1" applyBorder="1" applyAlignment="1">
      <alignment horizontal="right" vertical="top" wrapText="1"/>
    </xf>
    <xf numFmtId="4" fontId="44" fillId="12" borderId="2" xfId="1" applyNumberFormat="1" applyFont="1" applyFill="1" applyBorder="1" applyAlignment="1">
      <alignment horizontal="right" vertical="top" wrapText="1"/>
    </xf>
    <xf numFmtId="0" fontId="44" fillId="12" borderId="2" xfId="1" applyNumberFormat="1" applyFont="1" applyFill="1" applyBorder="1" applyAlignment="1">
      <alignment horizontal="center" vertical="top" wrapText="1"/>
    </xf>
    <xf numFmtId="0" fontId="44" fillId="12" borderId="2" xfId="1" applyNumberFormat="1" applyFont="1" applyFill="1" applyBorder="1" applyAlignment="1">
      <alignment horizontal="right" vertical="top" wrapText="1"/>
    </xf>
    <xf numFmtId="4" fontId="44" fillId="3" borderId="2" xfId="1" applyNumberFormat="1" applyFont="1" applyFill="1" applyBorder="1" applyAlignment="1">
      <alignment horizontal="right" vertical="top" wrapText="1"/>
    </xf>
    <xf numFmtId="4" fontId="39" fillId="0" borderId="2" xfId="1" applyNumberFormat="1" applyFont="1" applyBorder="1" applyAlignment="1">
      <alignment horizontal="right" vertical="top" wrapText="1"/>
    </xf>
    <xf numFmtId="0" fontId="39" fillId="0" borderId="2" xfId="1" applyNumberFormat="1" applyFont="1" applyBorder="1" applyAlignment="1">
      <alignment horizontal="center" vertical="top" wrapText="1"/>
    </xf>
    <xf numFmtId="0" fontId="39" fillId="0" borderId="2" xfId="1" applyNumberFormat="1" applyFont="1" applyBorder="1" applyAlignment="1">
      <alignment horizontal="right" vertical="top" wrapText="1"/>
    </xf>
    <xf numFmtId="4" fontId="44" fillId="0" borderId="2" xfId="1" applyNumberFormat="1" applyFont="1" applyBorder="1" applyAlignment="1">
      <alignment horizontal="right" vertical="top" wrapText="1"/>
    </xf>
    <xf numFmtId="0" fontId="44" fillId="0" borderId="2" xfId="1" applyNumberFormat="1" applyFont="1" applyBorder="1" applyAlignment="1">
      <alignment horizontal="center" vertical="top" wrapText="1"/>
    </xf>
    <xf numFmtId="0" fontId="44" fillId="0" borderId="2" xfId="1" applyNumberFormat="1" applyFont="1" applyBorder="1" applyAlignment="1">
      <alignment horizontal="right" vertical="top" wrapText="1"/>
    </xf>
    <xf numFmtId="4" fontId="57" fillId="9" borderId="2" xfId="0" applyNumberFormat="1" applyFont="1" applyFill="1" applyBorder="1" applyAlignment="1">
      <alignment horizontal="center" vertical="top" wrapText="1"/>
    </xf>
    <xf numFmtId="4" fontId="26" fillId="13" borderId="2" xfId="0" applyNumberFormat="1" applyFont="1" applyFill="1" applyBorder="1" applyAlignment="1">
      <alignment horizontal="center" vertical="top" wrapText="1"/>
    </xf>
    <xf numFmtId="4" fontId="26" fillId="12" borderId="2" xfId="1" applyNumberFormat="1" applyFont="1" applyFill="1" applyBorder="1" applyAlignment="1">
      <alignment horizontal="right" vertical="top" wrapText="1"/>
    </xf>
    <xf numFmtId="4" fontId="51" fillId="12" borderId="2" xfId="1" applyNumberFormat="1" applyFont="1" applyFill="1" applyBorder="1" applyAlignment="1">
      <alignment horizontal="right" vertical="top" wrapText="1"/>
    </xf>
    <xf numFmtId="4" fontId="26" fillId="19" borderId="2" xfId="0" applyNumberFormat="1" applyFont="1" applyFill="1" applyBorder="1" applyAlignment="1">
      <alignment horizontal="right" vertical="top" wrapText="1"/>
    </xf>
    <xf numFmtId="4" fontId="26" fillId="16" borderId="2" xfId="0" applyNumberFormat="1" applyFont="1" applyFill="1" applyBorder="1" applyAlignment="1">
      <alignment horizontal="center" vertical="top" wrapText="1"/>
    </xf>
    <xf numFmtId="0" fontId="26" fillId="16" borderId="2" xfId="0" applyFont="1" applyFill="1" applyBorder="1" applyAlignment="1">
      <alignment horizontal="left" vertical="top" wrapText="1"/>
    </xf>
    <xf numFmtId="3" fontId="78" fillId="13" borderId="2" xfId="0" applyNumberFormat="1" applyFont="1" applyFill="1" applyBorder="1" applyAlignment="1">
      <alignment horizontal="center" vertical="top" wrapText="1"/>
    </xf>
    <xf numFmtId="4" fontId="79" fillId="0" borderId="0" xfId="0" applyNumberFormat="1" applyFont="1" applyAlignment="1">
      <alignment horizontal="center"/>
    </xf>
    <xf numFmtId="43" fontId="79" fillId="0" borderId="0" xfId="0" applyNumberFormat="1" applyFont="1"/>
    <xf numFmtId="0" fontId="22" fillId="0" borderId="0" xfId="0" applyFont="1" applyAlignment="1">
      <alignment horizontal="right" vertical="top"/>
    </xf>
    <xf numFmtId="0" fontId="28" fillId="0" borderId="0" xfId="0" applyFont="1" applyAlignment="1">
      <alignment vertical="top"/>
    </xf>
    <xf numFmtId="3" fontId="75" fillId="0" borderId="2" xfId="0" applyNumberFormat="1" applyFont="1" applyBorder="1" applyAlignment="1">
      <alignment horizontal="center" vertical="top"/>
    </xf>
    <xf numFmtId="0" fontId="75" fillId="0" borderId="2" xfId="0" applyFont="1" applyBorder="1" applyAlignment="1">
      <alignment vertical="top"/>
    </xf>
    <xf numFmtId="0" fontId="75" fillId="0" borderId="2" xfId="0" applyFont="1" applyBorder="1" applyAlignment="1">
      <alignment horizontal="center" vertical="top"/>
    </xf>
    <xf numFmtId="43" fontId="75" fillId="0" borderId="2" xfId="0" applyNumberFormat="1" applyFont="1" applyBorder="1" applyAlignment="1">
      <alignment vertical="top"/>
    </xf>
    <xf numFmtId="43" fontId="72" fillId="0" borderId="2" xfId="0" applyNumberFormat="1" applyFont="1" applyBorder="1" applyAlignment="1">
      <alignment vertical="top"/>
    </xf>
    <xf numFmtId="3" fontId="72" fillId="22" borderId="2" xfId="0" applyNumberFormat="1" applyFont="1" applyFill="1" applyBorder="1" applyAlignment="1">
      <alignment horizontal="center" vertical="top"/>
    </xf>
    <xf numFmtId="4" fontId="72" fillId="22" borderId="2" xfId="0" applyNumberFormat="1" applyFont="1" applyFill="1" applyBorder="1" applyAlignment="1">
      <alignment vertical="top"/>
    </xf>
    <xf numFmtId="4" fontId="72" fillId="22" borderId="2" xfId="0" applyNumberFormat="1" applyFont="1" applyFill="1" applyBorder="1" applyAlignment="1">
      <alignment horizontal="center" vertical="top"/>
    </xf>
    <xf numFmtId="0" fontId="72" fillId="22" borderId="2" xfId="0" applyFont="1" applyFill="1" applyBorder="1" applyAlignment="1">
      <alignment vertical="top"/>
    </xf>
    <xf numFmtId="0" fontId="72" fillId="22" borderId="2" xfId="0" applyFont="1" applyFill="1" applyBorder="1" applyAlignment="1">
      <alignment horizontal="center" vertical="top"/>
    </xf>
    <xf numFmtId="2" fontId="72" fillId="22" borderId="2" xfId="0" applyNumberFormat="1" applyFont="1" applyFill="1" applyBorder="1" applyAlignment="1">
      <alignment vertical="top"/>
    </xf>
    <xf numFmtId="43" fontId="72" fillId="22" borderId="2" xfId="1" applyFont="1" applyFill="1" applyBorder="1" applyAlignment="1">
      <alignment vertical="top"/>
    </xf>
    <xf numFmtId="43" fontId="72" fillId="22" borderId="2" xfId="0" applyNumberFormat="1" applyFont="1" applyFill="1" applyBorder="1" applyAlignment="1">
      <alignment vertical="top"/>
    </xf>
    <xf numFmtId="43" fontId="45" fillId="16" borderId="0" xfId="1" applyFont="1" applyFill="1" applyAlignment="1">
      <alignment vertical="top"/>
    </xf>
    <xf numFmtId="43" fontId="45" fillId="0" borderId="0" xfId="1" applyFont="1" applyAlignment="1">
      <alignment vertical="top"/>
    </xf>
    <xf numFmtId="43" fontId="55" fillId="12" borderId="0" xfId="1" applyFont="1" applyFill="1" applyAlignment="1">
      <alignment vertical="top"/>
    </xf>
    <xf numFmtId="43" fontId="55" fillId="13" borderId="0" xfId="1" applyFont="1" applyFill="1" applyAlignment="1">
      <alignment vertical="top"/>
    </xf>
    <xf numFmtId="43" fontId="55" fillId="19" borderId="0" xfId="1" applyFont="1" applyFill="1" applyAlignment="1">
      <alignment vertical="top"/>
    </xf>
    <xf numFmtId="43" fontId="80" fillId="12" borderId="0" xfId="1" applyFont="1" applyFill="1" applyAlignment="1">
      <alignment vertical="top"/>
    </xf>
    <xf numFmtId="43" fontId="55" fillId="0" borderId="0" xfId="1" applyFont="1" applyAlignment="1">
      <alignment vertical="top"/>
    </xf>
    <xf numFmtId="43" fontId="80" fillId="0" borderId="0" xfId="1" applyFont="1" applyAlignment="1">
      <alignment vertical="top"/>
    </xf>
    <xf numFmtId="43" fontId="55" fillId="9" borderId="0" xfId="1" applyFont="1" applyFill="1" applyAlignment="1">
      <alignment vertical="top"/>
    </xf>
    <xf numFmtId="43" fontId="32" fillId="15" borderId="0" xfId="0" applyNumberFormat="1" applyFont="1" applyFill="1"/>
    <xf numFmtId="43" fontId="45" fillId="15" borderId="0" xfId="0" applyNumberFormat="1" applyFont="1" applyFill="1"/>
    <xf numFmtId="43" fontId="62" fillId="19" borderId="0" xfId="0" applyNumberFormat="1" applyFont="1" applyFill="1" applyAlignment="1">
      <alignment vertical="top"/>
    </xf>
    <xf numFmtId="43" fontId="64" fillId="16" borderId="0" xfId="0" applyNumberFormat="1" applyFont="1" applyFill="1" applyAlignment="1">
      <alignment vertical="top"/>
    </xf>
    <xf numFmtId="0" fontId="64" fillId="0" borderId="0" xfId="0" applyFont="1" applyAlignment="1">
      <alignment vertical="top"/>
    </xf>
    <xf numFmtId="0" fontId="49" fillId="12" borderId="0" xfId="0" applyFont="1" applyFill="1" applyAlignment="1">
      <alignment vertical="top"/>
    </xf>
    <xf numFmtId="43" fontId="49" fillId="13" borderId="0" xfId="0" applyNumberFormat="1" applyFont="1" applyFill="1" applyAlignment="1">
      <alignment vertical="top"/>
    </xf>
    <xf numFmtId="43" fontId="62" fillId="9" borderId="0" xfId="0" applyNumberFormat="1" applyFont="1" applyFill="1" applyAlignment="1">
      <alignment vertical="top"/>
    </xf>
    <xf numFmtId="43" fontId="75" fillId="0" borderId="2" xfId="1" applyFont="1" applyBorder="1" applyAlignment="1">
      <alignment vertical="top"/>
    </xf>
    <xf numFmtId="43" fontId="72" fillId="0" borderId="2" xfId="1" applyFont="1" applyBorder="1" applyAlignment="1">
      <alignment vertical="top"/>
    </xf>
    <xf numFmtId="43" fontId="38" fillId="0" borderId="2" xfId="0" applyNumberFormat="1" applyFont="1" applyBorder="1" applyAlignment="1">
      <alignment vertical="top"/>
    </xf>
    <xf numFmtId="4" fontId="38" fillId="22" borderId="2" xfId="0" applyNumberFormat="1" applyFont="1" applyFill="1" applyBorder="1" applyAlignment="1">
      <alignment vertical="top"/>
    </xf>
    <xf numFmtId="4" fontId="38" fillId="0" borderId="2" xfId="0" applyNumberFormat="1" applyFont="1" applyBorder="1" applyAlignment="1">
      <alignment vertical="top"/>
    </xf>
    <xf numFmtId="4" fontId="38" fillId="0" borderId="2" xfId="0" applyNumberFormat="1" applyFont="1" applyBorder="1" applyAlignment="1">
      <alignment horizontal="center" vertical="top"/>
    </xf>
    <xf numFmtId="43" fontId="33" fillId="0" borderId="0" xfId="2" applyNumberFormat="1" applyFont="1" applyAlignment="1">
      <alignment vertical="top" wrapText="1"/>
    </xf>
    <xf numFmtId="43" fontId="50" fillId="0" borderId="0" xfId="2" applyNumberFormat="1" applyFont="1" applyAlignment="1">
      <alignment horizontal="left" vertical="top" wrapText="1"/>
    </xf>
    <xf numFmtId="43" fontId="35" fillId="0" borderId="0" xfId="1" applyFont="1" applyAlignment="1">
      <alignment vertical="top" wrapText="1"/>
    </xf>
    <xf numFmtId="3" fontId="0" fillId="0" borderId="0" xfId="0" applyNumberFormat="1"/>
    <xf numFmtId="4" fontId="32" fillId="0" borderId="0" xfId="0" applyNumberFormat="1" applyFont="1"/>
    <xf numFmtId="0" fontId="50" fillId="12" borderId="2" xfId="2" applyFont="1" applyFill="1" applyBorder="1" applyAlignment="1">
      <alignment vertical="top" wrapText="1"/>
    </xf>
    <xf numFmtId="0" fontId="46" fillId="12" borderId="2" xfId="2" applyFont="1" applyFill="1" applyBorder="1" applyAlignment="1">
      <alignment vertical="top" wrapText="1"/>
    </xf>
    <xf numFmtId="43" fontId="57" fillId="13" borderId="0" xfId="1" applyFont="1" applyFill="1" applyBorder="1" applyAlignment="1">
      <alignment vertical="top" wrapText="1"/>
    </xf>
    <xf numFmtId="0" fontId="56" fillId="0" borderId="2" xfId="2" applyFont="1" applyBorder="1" applyAlignment="1">
      <alignment horizontal="left" vertical="top" wrapText="1"/>
    </xf>
    <xf numFmtId="43" fontId="57" fillId="13" borderId="9" xfId="2" applyNumberFormat="1" applyFont="1" applyFill="1" applyBorder="1" applyAlignment="1">
      <alignment vertical="top" wrapText="1"/>
    </xf>
    <xf numFmtId="0" fontId="26" fillId="24" borderId="1" xfId="2" applyFont="1" applyFill="1" applyBorder="1" applyAlignment="1">
      <alignment horizontal="center" vertical="center" wrapText="1"/>
    </xf>
    <xf numFmtId="0" fontId="57" fillId="24" borderId="3" xfId="2" applyFont="1" applyFill="1" applyBorder="1" applyAlignment="1">
      <alignment horizontal="center" vertical="top" wrapText="1"/>
    </xf>
    <xf numFmtId="43" fontId="50" fillId="0" borderId="0" xfId="1" applyFont="1" applyBorder="1" applyAlignment="1">
      <alignment vertical="top" wrapText="1"/>
    </xf>
    <xf numFmtId="193" fontId="51" fillId="0" borderId="2" xfId="2" applyNumberFormat="1" applyFont="1" applyBorder="1" applyAlignment="1">
      <alignment vertical="top" wrapText="1"/>
    </xf>
    <xf numFmtId="4" fontId="64" fillId="0" borderId="0" xfId="0" applyNumberFormat="1" applyFont="1"/>
    <xf numFmtId="0" fontId="85" fillId="12" borderId="2" xfId="1" applyNumberFormat="1" applyFont="1" applyFill="1" applyBorder="1" applyAlignment="1">
      <alignment horizontal="left" vertical="top" wrapText="1"/>
    </xf>
    <xf numFmtId="0" fontId="78" fillId="17" borderId="2" xfId="1" applyNumberFormat="1" applyFont="1" applyFill="1" applyBorder="1" applyAlignment="1">
      <alignment horizontal="left" vertical="top" wrapText="1"/>
    </xf>
    <xf numFmtId="4" fontId="78" fillId="17" borderId="2" xfId="1" applyNumberFormat="1" applyFont="1" applyFill="1" applyBorder="1" applyAlignment="1">
      <alignment horizontal="left" vertical="top" wrapText="1"/>
    </xf>
    <xf numFmtId="0" fontId="85" fillId="0" borderId="2" xfId="1" applyNumberFormat="1" applyFont="1" applyBorder="1" applyAlignment="1">
      <alignment horizontal="left" vertical="top" wrapText="1"/>
    </xf>
    <xf numFmtId="43" fontId="46" fillId="0" borderId="0" xfId="1" applyFont="1" applyAlignment="1">
      <alignment vertical="top" wrapText="1"/>
    </xf>
    <xf numFmtId="0" fontId="25" fillId="22" borderId="0" xfId="0" applyFont="1" applyFill="1" applyAlignment="1">
      <alignment horizontal="center" vertical="center"/>
    </xf>
    <xf numFmtId="0" fontId="43" fillId="9" borderId="0" xfId="0" applyFont="1" applyFill="1" applyAlignment="1">
      <alignment horizontal="center"/>
    </xf>
    <xf numFmtId="0" fontId="35" fillId="13" borderId="2" xfId="0" applyFont="1" applyFill="1" applyBorder="1" applyAlignment="1">
      <alignment horizontal="left" vertical="top" wrapText="1"/>
    </xf>
    <xf numFmtId="0" fontId="39" fillId="12" borderId="2" xfId="2" applyFont="1" applyFill="1" applyBorder="1" applyAlignment="1">
      <alignment horizontal="left" vertical="top" wrapText="1"/>
    </xf>
    <xf numFmtId="0" fontId="87" fillId="0" borderId="0" xfId="0" applyFont="1"/>
    <xf numFmtId="4" fontId="57" fillId="7" borderId="2" xfId="0" applyNumberFormat="1" applyFont="1" applyFill="1" applyBorder="1" applyAlignment="1">
      <alignment horizontal="center" vertical="top" wrapText="1"/>
    </xf>
    <xf numFmtId="43" fontId="87" fillId="0" borderId="0" xfId="1" applyFont="1"/>
    <xf numFmtId="3" fontId="35" fillId="17" borderId="1" xfId="0" applyNumberFormat="1" applyFont="1" applyFill="1" applyBorder="1" applyAlignment="1">
      <alignment horizontal="center" vertical="top" wrapText="1"/>
    </xf>
    <xf numFmtId="3" fontId="26" fillId="17" borderId="1" xfId="0" applyNumberFormat="1" applyFont="1" applyFill="1" applyBorder="1" applyAlignment="1">
      <alignment horizontal="center" vertical="top" wrapText="1"/>
    </xf>
    <xf numFmtId="3" fontId="33" fillId="17" borderId="3" xfId="0" applyNumberFormat="1" applyFont="1" applyFill="1" applyBorder="1" applyAlignment="1">
      <alignment horizontal="center" vertical="top" wrapText="1"/>
    </xf>
    <xf numFmtId="4" fontId="57" fillId="17" borderId="2" xfId="0" applyNumberFormat="1" applyFont="1" applyFill="1" applyBorder="1" applyAlignment="1">
      <alignment horizontal="center" vertical="top" wrapText="1"/>
    </xf>
    <xf numFmtId="4" fontId="36" fillId="17" borderId="2" xfId="0" applyNumberFormat="1" applyFont="1" applyFill="1" applyBorder="1" applyAlignment="1">
      <alignment horizontal="center" vertical="top" wrapText="1"/>
    </xf>
    <xf numFmtId="4" fontId="38" fillId="17" borderId="2" xfId="0" applyNumberFormat="1" applyFont="1" applyFill="1" applyBorder="1" applyAlignment="1">
      <alignment horizontal="right" vertical="top" wrapText="1"/>
    </xf>
    <xf numFmtId="4" fontId="49" fillId="17" borderId="2" xfId="1" applyNumberFormat="1" applyFont="1" applyFill="1" applyBorder="1" applyAlignment="1">
      <alignment horizontal="right" vertical="top" wrapText="1"/>
    </xf>
    <xf numFmtId="4" fontId="39" fillId="17" borderId="2" xfId="1" applyNumberFormat="1" applyFont="1" applyFill="1" applyBorder="1" applyAlignment="1">
      <alignment horizontal="right" vertical="top" wrapText="1"/>
    </xf>
    <xf numFmtId="3" fontId="57" fillId="17" borderId="2" xfId="0" applyNumberFormat="1" applyFont="1" applyFill="1" applyBorder="1" applyAlignment="1">
      <alignment horizontal="center" vertical="top" wrapText="1"/>
    </xf>
    <xf numFmtId="4" fontId="44" fillId="17" borderId="2" xfId="1" applyNumberFormat="1" applyFont="1" applyFill="1" applyBorder="1" applyAlignment="1">
      <alignment horizontal="right" vertical="top" wrapText="1"/>
    </xf>
    <xf numFmtId="0" fontId="33" fillId="7" borderId="2" xfId="0" applyFont="1" applyFill="1" applyBorder="1" applyAlignment="1">
      <alignment horizontal="center" vertical="center"/>
    </xf>
    <xf numFmtId="0" fontId="57" fillId="7" borderId="2" xfId="0" applyFont="1" applyFill="1" applyBorder="1" applyAlignment="1">
      <alignment horizontal="center" vertical="top" wrapText="1"/>
    </xf>
    <xf numFmtId="4" fontId="26" fillId="7" borderId="2" xfId="0" applyNumberFormat="1" applyFont="1" applyFill="1" applyBorder="1" applyAlignment="1">
      <alignment horizontal="center" vertical="top" wrapText="1"/>
    </xf>
    <xf numFmtId="43" fontId="26" fillId="13" borderId="12" xfId="1" applyFont="1" applyFill="1" applyBorder="1" applyAlignment="1">
      <alignment horizontal="right" vertical="top" wrapText="1"/>
    </xf>
    <xf numFmtId="43" fontId="39" fillId="0" borderId="2" xfId="1" applyFont="1" applyBorder="1" applyAlignment="1">
      <alignment vertical="top" wrapText="1"/>
    </xf>
    <xf numFmtId="0" fontId="17" fillId="0" borderId="0" xfId="4"/>
    <xf numFmtId="4" fontId="88" fillId="0" borderId="0" xfId="4" applyNumberFormat="1" applyFont="1"/>
    <xf numFmtId="0" fontId="17" fillId="0" borderId="0" xfId="4" applyAlignment="1">
      <alignment horizontal="center" vertical="top"/>
    </xf>
    <xf numFmtId="4" fontId="88" fillId="0" borderId="0" xfId="4" applyNumberFormat="1" applyFont="1" applyAlignment="1">
      <alignment horizontal="center" vertical="top"/>
    </xf>
    <xf numFmtId="3" fontId="89" fillId="0" borderId="0" xfId="4" applyNumberFormat="1" applyFont="1"/>
    <xf numFmtId="3" fontId="90" fillId="0" borderId="0" xfId="4" applyNumberFormat="1" applyFont="1"/>
    <xf numFmtId="4" fontId="91" fillId="26" borderId="2" xfId="4" applyNumberFormat="1" applyFont="1" applyFill="1" applyBorder="1" applyAlignment="1">
      <alignment horizontal="center" vertical="center"/>
    </xf>
    <xf numFmtId="0" fontId="92" fillId="0" borderId="2" xfId="4" applyFont="1" applyBorder="1" applyAlignment="1">
      <alignment horizontal="center" vertical="top"/>
    </xf>
    <xf numFmtId="0" fontId="92" fillId="0" borderId="0" xfId="4" applyFont="1"/>
    <xf numFmtId="0" fontId="92" fillId="3" borderId="2" xfId="4" applyFont="1" applyFill="1" applyBorder="1" applyAlignment="1">
      <alignment horizontal="center" vertical="top"/>
    </xf>
    <xf numFmtId="0" fontId="93" fillId="3" borderId="2" xfId="4" applyFont="1" applyFill="1" applyBorder="1" applyAlignment="1">
      <alignment horizontal="center" vertical="top"/>
    </xf>
    <xf numFmtId="0" fontId="91" fillId="0" borderId="0" xfId="4" applyFont="1"/>
    <xf numFmtId="2" fontId="26" fillId="0" borderId="0" xfId="2" applyNumberFormat="1" applyFont="1" applyAlignment="1">
      <alignment vertical="top" wrapText="1"/>
    </xf>
    <xf numFmtId="0" fontId="26" fillId="0" borderId="0" xfId="2" applyFont="1" applyAlignment="1">
      <alignment vertical="top" wrapText="1"/>
    </xf>
    <xf numFmtId="43" fontId="26" fillId="0" borderId="0" xfId="2" applyNumberFormat="1" applyFont="1" applyAlignment="1">
      <alignment vertical="top" wrapText="1"/>
    </xf>
    <xf numFmtId="0" fontId="26" fillId="0" borderId="0" xfId="2" applyFont="1" applyAlignment="1">
      <alignment horizontal="right" vertical="top" wrapText="1"/>
    </xf>
    <xf numFmtId="4" fontId="63" fillId="7" borderId="2" xfId="0" applyNumberFormat="1" applyFont="1" applyFill="1" applyBorder="1" applyAlignment="1">
      <alignment horizontal="center" vertical="top" wrapText="1"/>
    </xf>
    <xf numFmtId="4" fontId="63" fillId="16" borderId="2" xfId="0" applyNumberFormat="1" applyFont="1" applyFill="1" applyBorder="1" applyAlignment="1">
      <alignment horizontal="center" vertical="top" wrapText="1"/>
    </xf>
    <xf numFmtId="4" fontId="26" fillId="9" borderId="2" xfId="0" applyNumberFormat="1" applyFont="1" applyFill="1" applyBorder="1" applyAlignment="1">
      <alignment horizontal="center" vertical="top" wrapText="1"/>
    </xf>
    <xf numFmtId="4" fontId="93" fillId="0" borderId="2" xfId="4" applyNumberFormat="1" applyFont="1" applyBorder="1" applyAlignment="1">
      <alignment vertical="top"/>
    </xf>
    <xf numFmtId="43" fontId="26" fillId="4" borderId="12" xfId="1" applyFont="1" applyFill="1" applyBorder="1" applyAlignment="1">
      <alignment horizontal="right" vertical="top" wrapText="1"/>
    </xf>
    <xf numFmtId="0" fontId="26" fillId="19" borderId="2" xfId="0" applyFont="1" applyFill="1" applyBorder="1" applyAlignment="1">
      <alignment horizontal="left" vertical="top" wrapText="1"/>
    </xf>
    <xf numFmtId="43" fontId="24" fillId="0" borderId="0" xfId="1" applyFont="1"/>
    <xf numFmtId="0" fontId="24" fillId="9" borderId="0" xfId="0" applyFont="1" applyFill="1"/>
    <xf numFmtId="0" fontId="24" fillId="24" borderId="0" xfId="0" applyFont="1" applyFill="1"/>
    <xf numFmtId="0" fontId="68" fillId="0" borderId="15" xfId="0" applyFont="1" applyBorder="1" applyAlignment="1">
      <alignment horizontal="center" vertical="center"/>
    </xf>
    <xf numFmtId="43" fontId="43" fillId="25" borderId="13" xfId="1" applyFont="1" applyFill="1" applyBorder="1" applyAlignment="1">
      <alignment horizontal="center" vertical="center"/>
    </xf>
    <xf numFmtId="43" fontId="43" fillId="25" borderId="12" xfId="1" applyFont="1" applyFill="1" applyBorder="1" applyAlignment="1">
      <alignment horizontal="center" vertical="center"/>
    </xf>
    <xf numFmtId="43" fontId="30" fillId="22" borderId="13" xfId="1" applyFont="1" applyFill="1" applyBorder="1" applyAlignment="1">
      <alignment horizontal="center" vertical="center"/>
    </xf>
    <xf numFmtId="43" fontId="30" fillId="22" borderId="0" xfId="1" applyFont="1" applyFill="1" applyBorder="1" applyAlignment="1">
      <alignment horizontal="center" vertical="center"/>
    </xf>
    <xf numFmtId="43" fontId="43" fillId="24" borderId="0" xfId="1" applyFont="1" applyFill="1" applyBorder="1" applyAlignment="1">
      <alignment horizontal="center"/>
    </xf>
    <xf numFmtId="0" fontId="69" fillId="25" borderId="13" xfId="0" applyFont="1" applyFill="1" applyBorder="1" applyAlignment="1">
      <alignment horizontal="center" vertical="center"/>
    </xf>
    <xf numFmtId="43" fontId="41" fillId="22" borderId="13" xfId="1" applyFont="1" applyFill="1" applyBorder="1" applyAlignment="1">
      <alignment horizontal="center" vertical="center"/>
    </xf>
    <xf numFmtId="43" fontId="54" fillId="9" borderId="13" xfId="1" applyFont="1" applyFill="1" applyBorder="1" applyAlignment="1">
      <alignment horizontal="center"/>
    </xf>
    <xf numFmtId="43" fontId="30" fillId="22" borderId="9" xfId="1" applyFont="1" applyFill="1" applyBorder="1" applyAlignment="1">
      <alignment horizontal="center" vertical="center"/>
    </xf>
    <xf numFmtId="43" fontId="43" fillId="24" borderId="9" xfId="1" applyFont="1" applyFill="1" applyBorder="1" applyAlignment="1">
      <alignment horizontal="center"/>
    </xf>
    <xf numFmtId="43" fontId="43" fillId="25" borderId="1" xfId="1" applyFont="1" applyFill="1" applyBorder="1" applyAlignment="1">
      <alignment horizontal="center" vertical="center"/>
    </xf>
    <xf numFmtId="43" fontId="43" fillId="25" borderId="2" xfId="1" applyFont="1" applyFill="1" applyBorder="1" applyAlignment="1">
      <alignment horizontal="center" vertical="center"/>
    </xf>
    <xf numFmtId="43" fontId="54" fillId="13" borderId="2" xfId="1" applyFont="1" applyFill="1" applyBorder="1" applyAlignment="1">
      <alignment horizontal="center"/>
    </xf>
    <xf numFmtId="0" fontId="54" fillId="13" borderId="7" xfId="0" applyFont="1" applyFill="1" applyBorder="1" applyAlignment="1">
      <alignment horizontal="center"/>
    </xf>
    <xf numFmtId="43" fontId="54" fillId="13" borderId="7" xfId="1" applyFont="1" applyFill="1" applyBorder="1" applyAlignment="1">
      <alignment horizontal="center"/>
    </xf>
    <xf numFmtId="43" fontId="54" fillId="13" borderId="11" xfId="1" applyFont="1" applyFill="1" applyBorder="1" applyAlignment="1">
      <alignment horizontal="center"/>
    </xf>
    <xf numFmtId="4" fontId="55" fillId="13" borderId="0" xfId="0" applyNumberFormat="1" applyFont="1" applyFill="1" applyAlignment="1">
      <alignment vertical="top"/>
    </xf>
    <xf numFmtId="0" fontId="96" fillId="13" borderId="0" xfId="0" applyFont="1" applyFill="1" applyAlignment="1">
      <alignment vertical="top"/>
    </xf>
    <xf numFmtId="4" fontId="56" fillId="19" borderId="0" xfId="0" applyNumberFormat="1" applyFont="1" applyFill="1" applyAlignment="1">
      <alignment vertical="top"/>
    </xf>
    <xf numFmtId="43" fontId="65" fillId="24" borderId="13" xfId="1" applyFont="1" applyFill="1" applyBorder="1" applyAlignment="1">
      <alignment horizontal="center"/>
    </xf>
    <xf numFmtId="43" fontId="87" fillId="0" borderId="0" xfId="1" applyFont="1" applyAlignment="1">
      <alignment vertical="top"/>
    </xf>
    <xf numFmtId="0" fontId="25" fillId="0" borderId="0" xfId="0" applyFont="1"/>
    <xf numFmtId="0" fontId="30" fillId="0" borderId="0" xfId="0" applyFont="1"/>
    <xf numFmtId="0" fontId="30" fillId="0" borderId="0" xfId="0" applyFont="1" applyAlignment="1">
      <alignment vertical="top"/>
    </xf>
    <xf numFmtId="0" fontId="54" fillId="0" borderId="0" xfId="0" applyFont="1" applyAlignment="1">
      <alignment vertical="top"/>
    </xf>
    <xf numFmtId="0" fontId="54" fillId="0" borderId="0" xfId="0" applyFont="1"/>
    <xf numFmtId="0" fontId="30" fillId="0" borderId="0" xfId="0" applyFont="1" applyAlignment="1">
      <alignment vertical="top" wrapText="1"/>
    </xf>
    <xf numFmtId="0" fontId="48" fillId="5" borderId="0" xfId="0" applyFont="1" applyFill="1"/>
    <xf numFmtId="0" fontId="46" fillId="5" borderId="0" xfId="0" applyFont="1" applyFill="1"/>
    <xf numFmtId="0" fontId="46" fillId="13" borderId="0" xfId="0" applyFont="1" applyFill="1"/>
    <xf numFmtId="43" fontId="35" fillId="0" borderId="0" xfId="2" applyNumberFormat="1" applyFont="1" applyAlignment="1">
      <alignment vertical="top" wrapText="1"/>
    </xf>
    <xf numFmtId="4" fontId="32" fillId="15" borderId="0" xfId="0" applyNumberFormat="1" applyFont="1" applyFill="1"/>
    <xf numFmtId="0" fontId="59" fillId="22" borderId="0" xfId="0" applyFont="1" applyFill="1"/>
    <xf numFmtId="4" fontId="87" fillId="0" borderId="0" xfId="0" applyNumberFormat="1" applyFont="1" applyAlignment="1">
      <alignment horizontal="left"/>
    </xf>
    <xf numFmtId="3" fontId="57" fillId="10" borderId="1" xfId="0" applyNumberFormat="1" applyFont="1" applyFill="1" applyBorder="1" applyAlignment="1">
      <alignment horizontal="center" vertical="top" wrapText="1"/>
    </xf>
    <xf numFmtId="3" fontId="57" fillId="10" borderId="15" xfId="0" applyNumberFormat="1" applyFont="1" applyFill="1" applyBorder="1" applyAlignment="1">
      <alignment horizontal="center" vertical="top" wrapText="1"/>
    </xf>
    <xf numFmtId="0" fontId="75" fillId="9" borderId="7" xfId="0" applyFont="1" applyFill="1" applyBorder="1" applyAlignment="1">
      <alignment vertical="center"/>
    </xf>
    <xf numFmtId="0" fontId="75" fillId="9" borderId="11" xfId="0" applyFont="1" applyFill="1" applyBorder="1" applyAlignment="1">
      <alignment vertical="center"/>
    </xf>
    <xf numFmtId="4" fontId="81" fillId="21" borderId="2" xfId="0" applyNumberFormat="1" applyFont="1" applyFill="1" applyBorder="1" applyAlignment="1">
      <alignment horizontal="center" vertical="top" wrapText="1"/>
    </xf>
    <xf numFmtId="4" fontId="82" fillId="21" borderId="2" xfId="0" applyNumberFormat="1" applyFont="1" applyFill="1" applyBorder="1" applyAlignment="1">
      <alignment horizontal="center" vertical="top" wrapText="1"/>
    </xf>
    <xf numFmtId="4" fontId="57" fillId="21" borderId="2" xfId="0" applyNumberFormat="1" applyFont="1" applyFill="1" applyBorder="1" applyAlignment="1">
      <alignment horizontal="center" vertical="top" wrapText="1"/>
    </xf>
    <xf numFmtId="4" fontId="36" fillId="21" borderId="2" xfId="0" applyNumberFormat="1" applyFont="1" applyFill="1" applyBorder="1" applyAlignment="1">
      <alignment horizontal="center" vertical="top" wrapText="1"/>
    </xf>
    <xf numFmtId="4" fontId="38" fillId="21" borderId="2" xfId="0" applyNumberFormat="1" applyFont="1" applyFill="1" applyBorder="1" applyAlignment="1">
      <alignment horizontal="right" vertical="top" wrapText="1"/>
    </xf>
    <xf numFmtId="4" fontId="49" fillId="21" borderId="2" xfId="1" applyNumberFormat="1" applyFont="1" applyFill="1" applyBorder="1" applyAlignment="1">
      <alignment horizontal="right" vertical="top" wrapText="1"/>
    </xf>
    <xf numFmtId="4" fontId="36" fillId="21" borderId="2" xfId="1" applyNumberFormat="1" applyFont="1" applyFill="1" applyBorder="1" applyAlignment="1">
      <alignment horizontal="right" vertical="top" wrapText="1"/>
    </xf>
    <xf numFmtId="4" fontId="26" fillId="21" borderId="2" xfId="1" applyNumberFormat="1" applyFont="1" applyFill="1" applyBorder="1" applyAlignment="1">
      <alignment horizontal="right" vertical="top" wrapText="1"/>
    </xf>
    <xf numFmtId="4" fontId="51" fillId="21" borderId="2" xfId="1" applyNumberFormat="1" applyFont="1" applyFill="1" applyBorder="1" applyAlignment="1">
      <alignment horizontal="right" vertical="top" wrapText="1"/>
    </xf>
    <xf numFmtId="43" fontId="26" fillId="21" borderId="2" xfId="1" applyFont="1" applyFill="1" applyBorder="1" applyAlignment="1">
      <alignment horizontal="center" vertical="top" wrapText="1"/>
    </xf>
    <xf numFmtId="4" fontId="40" fillId="21" borderId="2" xfId="1" applyNumberFormat="1" applyFont="1" applyFill="1" applyBorder="1" applyAlignment="1">
      <alignment horizontal="right" vertical="top" wrapText="1"/>
    </xf>
    <xf numFmtId="4" fontId="36" fillId="18" borderId="2" xfId="0" applyNumberFormat="1" applyFont="1" applyFill="1" applyBorder="1" applyAlignment="1">
      <alignment horizontal="center" vertical="top" wrapText="1"/>
    </xf>
    <xf numFmtId="4" fontId="38" fillId="18" borderId="2" xfId="0" applyNumberFormat="1" applyFont="1" applyFill="1" applyBorder="1" applyAlignment="1">
      <alignment horizontal="right" vertical="top" wrapText="1"/>
    </xf>
    <xf numFmtId="4" fontId="49" fillId="18" borderId="2" xfId="1" applyNumberFormat="1" applyFont="1" applyFill="1" applyBorder="1" applyAlignment="1">
      <alignment horizontal="right" vertical="top" wrapText="1"/>
    </xf>
    <xf numFmtId="4" fontId="36" fillId="18" borderId="2" xfId="1" applyNumberFormat="1" applyFont="1" applyFill="1" applyBorder="1" applyAlignment="1">
      <alignment horizontal="right" vertical="top" wrapText="1"/>
    </xf>
    <xf numFmtId="43" fontId="36" fillId="18" borderId="2" xfId="1" applyFont="1" applyFill="1" applyBorder="1" applyAlignment="1">
      <alignment horizontal="center" vertical="top" wrapText="1"/>
    </xf>
    <xf numFmtId="4" fontId="70" fillId="18" borderId="2" xfId="1" applyNumberFormat="1" applyFont="1" applyFill="1" applyBorder="1" applyAlignment="1">
      <alignment horizontal="right" vertical="top" wrapText="1"/>
    </xf>
    <xf numFmtId="3" fontId="35" fillId="26" borderId="3" xfId="0" applyNumberFormat="1" applyFont="1" applyFill="1" applyBorder="1" applyAlignment="1">
      <alignment horizontal="center" vertical="top" wrapText="1"/>
    </xf>
    <xf numFmtId="3" fontId="35" fillId="26" borderId="9" xfId="0" applyNumberFormat="1" applyFont="1" applyFill="1" applyBorder="1" applyAlignment="1">
      <alignment horizontal="center" vertical="top" wrapText="1"/>
    </xf>
    <xf numFmtId="4" fontId="36" fillId="26" borderId="2" xfId="0" applyNumberFormat="1" applyFont="1" applyFill="1" applyBorder="1" applyAlignment="1">
      <alignment horizontal="center" vertical="top" wrapText="1"/>
    </xf>
    <xf numFmtId="0" fontId="99" fillId="24" borderId="2" xfId="0" applyFont="1" applyFill="1" applyBorder="1" applyAlignment="1">
      <alignment vertical="center"/>
    </xf>
    <xf numFmtId="0" fontId="99" fillId="24" borderId="8" xfId="0" applyFont="1" applyFill="1" applyBorder="1" applyAlignment="1">
      <alignment horizontal="center" vertical="center"/>
    </xf>
    <xf numFmtId="43" fontId="98" fillId="0" borderId="0" xfId="1" applyFont="1" applyAlignment="1">
      <alignment horizontal="center" vertical="top"/>
    </xf>
    <xf numFmtId="0" fontId="46" fillId="8" borderId="0" xfId="0" applyFont="1" applyFill="1"/>
    <xf numFmtId="0" fontId="46" fillId="24" borderId="0" xfId="0" applyFont="1" applyFill="1" applyAlignment="1">
      <alignment vertical="top"/>
    </xf>
    <xf numFmtId="0" fontId="46" fillId="11" borderId="0" xfId="0" applyFont="1" applyFill="1" applyAlignment="1">
      <alignment vertical="top"/>
    </xf>
    <xf numFmtId="0" fontId="48" fillId="14" borderId="0" xfId="0" applyFont="1" applyFill="1"/>
    <xf numFmtId="0" fontId="27" fillId="12" borderId="0" xfId="0" applyFont="1" applyFill="1" applyAlignment="1">
      <alignment horizontal="center" vertical="top"/>
    </xf>
    <xf numFmtId="0" fontId="27" fillId="12" borderId="0" xfId="0" applyFont="1" applyFill="1"/>
    <xf numFmtId="43" fontId="30" fillId="12" borderId="0" xfId="0" applyNumberFormat="1" applyFont="1" applyFill="1"/>
    <xf numFmtId="0" fontId="24" fillId="12" borderId="0" xfId="0" applyFont="1" applyFill="1"/>
    <xf numFmtId="0" fontId="24" fillId="12" borderId="0" xfId="0" applyFont="1" applyFill="1" applyAlignment="1">
      <alignment horizontal="center"/>
    </xf>
    <xf numFmtId="43" fontId="24" fillId="12" borderId="0" xfId="1" applyFont="1" applyFill="1"/>
    <xf numFmtId="0" fontId="25" fillId="12" borderId="0" xfId="0" applyFont="1" applyFill="1"/>
    <xf numFmtId="43" fontId="59" fillId="12" borderId="0" xfId="1" applyFont="1" applyFill="1"/>
    <xf numFmtId="0" fontId="87" fillId="12" borderId="0" xfId="0" applyFont="1" applyFill="1"/>
    <xf numFmtId="43" fontId="87" fillId="12" borderId="0" xfId="1" applyFont="1" applyFill="1"/>
    <xf numFmtId="43" fontId="87" fillId="12" borderId="0" xfId="1" applyFont="1" applyFill="1" applyAlignment="1">
      <alignment vertical="top"/>
    </xf>
    <xf numFmtId="0" fontId="46" fillId="12" borderId="2" xfId="2" applyFont="1" applyFill="1" applyBorder="1" applyAlignment="1">
      <alignment horizontal="center" vertical="top" wrapText="1"/>
    </xf>
    <xf numFmtId="43" fontId="50" fillId="12" borderId="2" xfId="3" applyFont="1" applyFill="1" applyBorder="1" applyAlignment="1">
      <alignment vertical="top" wrapText="1"/>
    </xf>
    <xf numFmtId="43" fontId="50" fillId="12" borderId="0" xfId="1" applyFont="1" applyFill="1" applyBorder="1" applyAlignment="1">
      <alignment vertical="top" wrapText="1"/>
    </xf>
    <xf numFmtId="43" fontId="35" fillId="13" borderId="12" xfId="1" applyFont="1" applyFill="1" applyBorder="1" applyAlignment="1">
      <alignment horizontal="right" vertical="top" wrapText="1"/>
    </xf>
    <xf numFmtId="189" fontId="51" fillId="12" borderId="8" xfId="2" applyNumberFormat="1" applyFont="1" applyFill="1" applyBorder="1" applyAlignment="1">
      <alignment horizontal="right" vertical="top" wrapText="1"/>
    </xf>
    <xf numFmtId="0" fontId="51" fillId="12" borderId="11" xfId="2" applyFont="1" applyFill="1" applyBorder="1" applyAlignment="1">
      <alignment vertical="top" wrapText="1"/>
    </xf>
    <xf numFmtId="0" fontId="50" fillId="12" borderId="11" xfId="2" applyFont="1" applyFill="1" applyBorder="1" applyAlignment="1">
      <alignment vertical="top" wrapText="1"/>
    </xf>
    <xf numFmtId="43" fontId="50" fillId="12" borderId="7" xfId="1" applyFont="1" applyFill="1" applyBorder="1" applyAlignment="1">
      <alignment vertical="top" wrapText="1"/>
    </xf>
    <xf numFmtId="43" fontId="51" fillId="12" borderId="7" xfId="3" applyFont="1" applyFill="1" applyBorder="1" applyAlignment="1">
      <alignment vertical="top" wrapText="1"/>
    </xf>
    <xf numFmtId="43" fontId="51" fillId="12" borderId="7" xfId="1" applyFont="1" applyFill="1" applyBorder="1" applyAlignment="1">
      <alignment vertical="top" wrapText="1"/>
    </xf>
    <xf numFmtId="0" fontId="51" fillId="12" borderId="8" xfId="2" applyFont="1" applyFill="1" applyBorder="1" applyAlignment="1">
      <alignment horizontal="center" vertical="top" wrapText="1"/>
    </xf>
    <xf numFmtId="43" fontId="51" fillId="12" borderId="8" xfId="2" applyNumberFormat="1" applyFont="1" applyFill="1" applyBorder="1" applyAlignment="1">
      <alignment horizontal="center" vertical="top" wrapText="1"/>
    </xf>
    <xf numFmtId="0" fontId="46" fillId="10" borderId="0" xfId="2" applyFont="1" applyFill="1" applyAlignment="1">
      <alignment horizontal="center" vertical="top" wrapText="1"/>
    </xf>
    <xf numFmtId="43" fontId="35" fillId="10" borderId="0" xfId="1" applyFont="1" applyFill="1" applyAlignment="1">
      <alignment horizontal="center" vertical="top" wrapText="1"/>
    </xf>
    <xf numFmtId="0" fontId="46" fillId="10" borderId="0" xfId="2" applyFont="1" applyFill="1" applyAlignment="1">
      <alignment vertical="top" wrapText="1"/>
    </xf>
    <xf numFmtId="0" fontId="57" fillId="24" borderId="9" xfId="2" applyFont="1" applyFill="1" applyBorder="1" applyAlignment="1">
      <alignment horizontal="center" vertical="top" wrapText="1"/>
    </xf>
    <xf numFmtId="0" fontId="29" fillId="24" borderId="9" xfId="2" applyFont="1" applyFill="1" applyBorder="1" applyAlignment="1">
      <alignment horizontal="center" vertical="top" wrapText="1"/>
    </xf>
    <xf numFmtId="0" fontId="46" fillId="24" borderId="9" xfId="2" applyFont="1" applyFill="1" applyBorder="1" applyAlignment="1">
      <alignment vertical="top" wrapText="1"/>
    </xf>
    <xf numFmtId="43" fontId="29" fillId="24" borderId="1" xfId="3" applyFont="1" applyFill="1" applyBorder="1" applyAlignment="1">
      <alignment horizontal="center" vertical="top" wrapText="1"/>
    </xf>
    <xf numFmtId="0" fontId="46" fillId="24" borderId="1" xfId="2" applyFont="1" applyFill="1" applyBorder="1" applyAlignment="1">
      <alignment vertical="top" wrapText="1"/>
    </xf>
    <xf numFmtId="0" fontId="29" fillId="12" borderId="2" xfId="2" applyFont="1" applyFill="1" applyBorder="1" applyAlignment="1">
      <alignment horizontal="center" vertical="top" wrapText="1"/>
    </xf>
    <xf numFmtId="43" fontId="29" fillId="12" borderId="2" xfId="3" applyFont="1" applyFill="1" applyBorder="1" applyAlignment="1">
      <alignment horizontal="center" vertical="top" wrapText="1"/>
    </xf>
    <xf numFmtId="0" fontId="53" fillId="12" borderId="0" xfId="2" applyFont="1" applyFill="1" applyAlignment="1">
      <alignment vertical="top" wrapText="1"/>
    </xf>
    <xf numFmtId="43" fontId="46" fillId="12" borderId="2" xfId="1" applyFont="1" applyFill="1" applyBorder="1" applyAlignment="1">
      <alignment horizontal="center" vertical="top" wrapText="1"/>
    </xf>
    <xf numFmtId="43" fontId="35" fillId="12" borderId="2" xfId="1" applyFont="1" applyFill="1" applyBorder="1" applyAlignment="1">
      <alignment horizontal="center" vertical="top" wrapText="1"/>
    </xf>
    <xf numFmtId="43" fontId="39" fillId="12" borderId="2" xfId="2" applyNumberFormat="1" applyFont="1" applyFill="1" applyBorder="1" applyAlignment="1">
      <alignment horizontal="center" vertical="top" wrapText="1"/>
    </xf>
    <xf numFmtId="0" fontId="39" fillId="12" borderId="2" xfId="2" applyFont="1" applyFill="1" applyBorder="1" applyAlignment="1">
      <alignment vertical="top" wrapText="1"/>
    </xf>
    <xf numFmtId="43" fontId="39" fillId="12" borderId="2" xfId="1" applyFont="1" applyFill="1" applyBorder="1" applyAlignment="1">
      <alignment horizontal="center" vertical="top" wrapText="1"/>
    </xf>
    <xf numFmtId="43" fontId="26" fillId="12" borderId="2" xfId="3" applyFont="1" applyFill="1" applyBorder="1" applyAlignment="1">
      <alignment horizontal="center" vertical="top" wrapText="1"/>
    </xf>
    <xf numFmtId="0" fontId="26" fillId="12" borderId="2" xfId="2" applyFont="1" applyFill="1" applyBorder="1" applyAlignment="1">
      <alignment horizontal="center" vertical="top" wrapText="1"/>
    </xf>
    <xf numFmtId="43" fontId="26" fillId="12" borderId="2" xfId="1" applyFont="1" applyFill="1" applyBorder="1" applyAlignment="1">
      <alignment horizontal="center" vertical="top" wrapText="1"/>
    </xf>
    <xf numFmtId="3" fontId="59" fillId="0" borderId="2" xfId="0" applyNumberFormat="1" applyFont="1" applyBorder="1" applyAlignment="1">
      <alignment vertical="top"/>
    </xf>
    <xf numFmtId="43" fontId="59" fillId="0" borderId="2" xfId="1" applyFont="1" applyBorder="1" applyAlignment="1">
      <alignment vertical="top"/>
    </xf>
    <xf numFmtId="0" fontId="57" fillId="12" borderId="8" xfId="2" applyFont="1" applyFill="1" applyBorder="1" applyAlignment="1">
      <alignment horizontal="left" vertical="top" wrapText="1"/>
    </xf>
    <xf numFmtId="0" fontId="56" fillId="0" borderId="8" xfId="2" applyFont="1" applyBorder="1" applyAlignment="1">
      <alignment horizontal="left" vertical="top" wrapText="1"/>
    </xf>
    <xf numFmtId="0" fontId="46" fillId="12" borderId="1" xfId="2" applyFont="1" applyFill="1" applyBorder="1" applyAlignment="1">
      <alignment horizontal="center" vertical="top" wrapText="1"/>
    </xf>
    <xf numFmtId="0" fontId="46" fillId="0" borderId="9" xfId="2" applyFont="1" applyBorder="1" applyAlignment="1">
      <alignment horizontal="center" vertical="top" wrapText="1"/>
    </xf>
    <xf numFmtId="0" fontId="46" fillId="0" borderId="3" xfId="2" applyFont="1" applyBorder="1" applyAlignment="1">
      <alignment horizontal="center" vertical="top" wrapText="1"/>
    </xf>
    <xf numFmtId="0" fontId="57" fillId="21" borderId="2" xfId="2" applyFont="1" applyFill="1" applyBorder="1" applyAlignment="1">
      <alignment horizontal="center" vertical="top" wrapText="1"/>
    </xf>
    <xf numFmtId="43" fontId="26" fillId="21" borderId="2" xfId="2" applyNumberFormat="1" applyFont="1" applyFill="1" applyBorder="1" applyAlignment="1">
      <alignment vertical="top" wrapText="1"/>
    </xf>
    <xf numFmtId="0" fontId="47" fillId="21" borderId="2" xfId="2" applyFont="1" applyFill="1" applyBorder="1" applyAlignment="1">
      <alignment vertical="top" wrapText="1"/>
    </xf>
    <xf numFmtId="0" fontId="48" fillId="21" borderId="2" xfId="2" applyFont="1" applyFill="1" applyBorder="1" applyAlignment="1">
      <alignment vertical="top" wrapText="1"/>
    </xf>
    <xf numFmtId="0" fontId="46" fillId="21" borderId="2" xfId="2" applyFont="1" applyFill="1" applyBorder="1" applyAlignment="1">
      <alignment horizontal="center" vertical="top" wrapText="1"/>
    </xf>
    <xf numFmtId="2" fontId="39" fillId="0" borderId="2" xfId="2" applyNumberFormat="1" applyFont="1" applyBorder="1" applyAlignment="1">
      <alignment vertical="top" wrapText="1"/>
    </xf>
    <xf numFmtId="43" fontId="39" fillId="0" borderId="2" xfId="2" applyNumberFormat="1" applyFont="1" applyBorder="1" applyAlignment="1">
      <alignment vertical="top" wrapText="1"/>
    </xf>
    <xf numFmtId="43" fontId="39" fillId="12" borderId="2" xfId="2" applyNumberFormat="1" applyFont="1" applyFill="1" applyBorder="1" applyAlignment="1">
      <alignment vertical="top" wrapText="1"/>
    </xf>
    <xf numFmtId="2" fontId="39" fillId="12" borderId="2" xfId="2" applyNumberFormat="1" applyFont="1" applyFill="1" applyBorder="1" applyAlignment="1">
      <alignment vertical="top" wrapText="1"/>
    </xf>
    <xf numFmtId="189" fontId="57" fillId="21" borderId="2" xfId="2" applyNumberFormat="1" applyFont="1" applyFill="1" applyBorder="1" applyAlignment="1">
      <alignment vertical="top" wrapText="1"/>
    </xf>
    <xf numFmtId="43" fontId="57" fillId="21" borderId="2" xfId="1" applyFont="1" applyFill="1" applyBorder="1" applyAlignment="1">
      <alignment vertical="top" wrapText="1"/>
    </xf>
    <xf numFmtId="0" fontId="25" fillId="0" borderId="2" xfId="0" applyFont="1" applyBorder="1" applyAlignment="1">
      <alignment horizontal="left" vertical="top" wrapText="1"/>
    </xf>
    <xf numFmtId="43" fontId="30" fillId="27" borderId="2" xfId="1" applyFont="1" applyFill="1" applyBorder="1" applyAlignment="1">
      <alignment horizontal="center" vertical="center"/>
    </xf>
    <xf numFmtId="43" fontId="30" fillId="22" borderId="1" xfId="1" applyFont="1" applyFill="1" applyBorder="1" applyAlignment="1">
      <alignment horizontal="center" vertical="center"/>
    </xf>
    <xf numFmtId="43" fontId="65" fillId="9" borderId="3" xfId="1" applyFont="1" applyFill="1" applyBorder="1" applyAlignment="1">
      <alignment horizontal="center"/>
    </xf>
    <xf numFmtId="43" fontId="65" fillId="24" borderId="3" xfId="1" applyFont="1" applyFill="1" applyBorder="1" applyAlignment="1">
      <alignment horizontal="center"/>
    </xf>
    <xf numFmtId="0" fontId="25" fillId="27" borderId="7" xfId="0" applyFont="1" applyFill="1" applyBorder="1" applyAlignment="1">
      <alignment horizontal="center" vertical="center"/>
    </xf>
    <xf numFmtId="43" fontId="41" fillId="27" borderId="7" xfId="1" applyFont="1" applyFill="1" applyBorder="1" applyAlignment="1">
      <alignment horizontal="center" vertical="center"/>
    </xf>
    <xf numFmtId="43" fontId="30" fillId="27" borderId="11" xfId="1" applyFont="1" applyFill="1" applyBorder="1" applyAlignment="1">
      <alignment horizontal="center" vertical="center"/>
    </xf>
    <xf numFmtId="43" fontId="30" fillId="27" borderId="7" xfId="1" applyFont="1" applyFill="1" applyBorder="1" applyAlignment="1">
      <alignment horizontal="center" vertical="center"/>
    </xf>
    <xf numFmtId="0" fontId="51" fillId="28" borderId="1" xfId="2" applyFont="1" applyFill="1" applyBorder="1" applyAlignment="1">
      <alignment horizontal="center" vertical="top" wrapText="1"/>
    </xf>
    <xf numFmtId="0" fontId="26" fillId="28" borderId="9" xfId="2" applyFont="1" applyFill="1" applyBorder="1" applyAlignment="1">
      <alignment horizontal="left" vertical="top" wrapText="1"/>
    </xf>
    <xf numFmtId="189" fontId="35" fillId="28" borderId="12" xfId="2" applyNumberFormat="1" applyFont="1" applyFill="1" applyBorder="1" applyAlignment="1">
      <alignment horizontal="right" vertical="top" wrapText="1"/>
    </xf>
    <xf numFmtId="43" fontId="26" fillId="28" borderId="12" xfId="1" applyFont="1" applyFill="1" applyBorder="1" applyAlignment="1">
      <alignment horizontal="right" vertical="top" wrapText="1"/>
    </xf>
    <xf numFmtId="43" fontId="26" fillId="28" borderId="3" xfId="1" applyFont="1" applyFill="1" applyBorder="1" applyAlignment="1">
      <alignment vertical="top" wrapText="1"/>
    </xf>
    <xf numFmtId="43" fontId="26" fillId="28" borderId="3" xfId="2" applyNumberFormat="1" applyFont="1" applyFill="1" applyBorder="1" applyAlignment="1">
      <alignment vertical="top" wrapText="1"/>
    </xf>
    <xf numFmtId="43" fontId="26" fillId="28" borderId="0" xfId="1" applyFont="1" applyFill="1" applyBorder="1" applyAlignment="1">
      <alignment vertical="top" wrapText="1"/>
    </xf>
    <xf numFmtId="0" fontId="51" fillId="0" borderId="0" xfId="2" applyFont="1" applyAlignment="1">
      <alignment vertical="top" wrapText="1"/>
    </xf>
    <xf numFmtId="43" fontId="51" fillId="4" borderId="0" xfId="1" applyFont="1" applyFill="1" applyBorder="1" applyAlignment="1">
      <alignment vertical="top" wrapText="1"/>
    </xf>
    <xf numFmtId="0" fontId="51" fillId="17" borderId="2" xfId="2" applyFont="1" applyFill="1" applyBorder="1" applyAlignment="1">
      <alignment horizontal="left" vertical="top" wrapText="1"/>
    </xf>
    <xf numFmtId="0" fontId="50" fillId="17" borderId="2" xfId="2" applyFont="1" applyFill="1" applyBorder="1" applyAlignment="1">
      <alignment vertical="top" wrapText="1"/>
    </xf>
    <xf numFmtId="0" fontId="46" fillId="17" borderId="2" xfId="2" applyFont="1" applyFill="1" applyBorder="1" applyAlignment="1">
      <alignment horizontal="center" vertical="top" wrapText="1"/>
    </xf>
    <xf numFmtId="43" fontId="51" fillId="17" borderId="2" xfId="1" applyFont="1" applyFill="1" applyBorder="1" applyAlignment="1">
      <alignment vertical="top" wrapText="1"/>
    </xf>
    <xf numFmtId="43" fontId="51" fillId="17" borderId="2" xfId="3" applyFont="1" applyFill="1" applyBorder="1" applyAlignment="1">
      <alignment vertical="top" wrapText="1"/>
    </xf>
    <xf numFmtId="2" fontId="51" fillId="17" borderId="2" xfId="2" applyNumberFormat="1" applyFont="1" applyFill="1" applyBorder="1" applyAlignment="1">
      <alignment horizontal="center" vertical="top" wrapText="1"/>
    </xf>
    <xf numFmtId="43" fontId="51" fillId="17" borderId="2" xfId="1" applyFont="1" applyFill="1" applyBorder="1" applyAlignment="1">
      <alignment horizontal="center" vertical="top" wrapText="1"/>
    </xf>
    <xf numFmtId="0" fontId="46" fillId="17" borderId="0" xfId="2" applyFont="1" applyFill="1" applyAlignment="1">
      <alignment vertical="top" wrapText="1"/>
    </xf>
    <xf numFmtId="0" fontId="51" fillId="0" borderId="2" xfId="2" applyFont="1" applyBorder="1" applyAlignment="1">
      <alignment horizontal="left" vertical="top" wrapText="1"/>
    </xf>
    <xf numFmtId="2" fontId="51" fillId="0" borderId="2" xfId="3" applyNumberFormat="1" applyFont="1" applyBorder="1" applyAlignment="1">
      <alignment vertical="top" wrapText="1"/>
    </xf>
    <xf numFmtId="0" fontId="51" fillId="0" borderId="2" xfId="2" applyFont="1" applyBorder="1" applyAlignment="1">
      <alignment horizontal="center" vertical="top" wrapText="1"/>
    </xf>
    <xf numFmtId="189" fontId="51" fillId="0" borderId="2" xfId="2" applyNumberFormat="1" applyFont="1" applyBorder="1" applyAlignment="1">
      <alignment horizontal="center" vertical="top" wrapText="1"/>
    </xf>
    <xf numFmtId="43" fontId="51" fillId="0" borderId="2" xfId="1" applyFont="1" applyBorder="1" applyAlignment="1">
      <alignment horizontal="center" vertical="top" wrapText="1"/>
    </xf>
    <xf numFmtId="189" fontId="51" fillId="17" borderId="2" xfId="2" applyNumberFormat="1" applyFont="1" applyFill="1" applyBorder="1" applyAlignment="1">
      <alignment horizontal="right" vertical="top" wrapText="1"/>
    </xf>
    <xf numFmtId="0" fontId="51" fillId="17" borderId="2" xfId="2" applyFont="1" applyFill="1" applyBorder="1" applyAlignment="1">
      <alignment vertical="top" wrapText="1"/>
    </xf>
    <xf numFmtId="2" fontId="51" fillId="0" borderId="2" xfId="2" applyNumberFormat="1" applyFont="1" applyBorder="1" applyAlignment="1">
      <alignment horizontal="center" vertical="top" wrapText="1"/>
    </xf>
    <xf numFmtId="43" fontId="51" fillId="0" borderId="2" xfId="2" applyNumberFormat="1" applyFont="1" applyBorder="1" applyAlignment="1">
      <alignment horizontal="center" vertical="top" wrapText="1"/>
    </xf>
    <xf numFmtId="0" fontId="50" fillId="0" borderId="2" xfId="2" applyFont="1" applyBorder="1" applyAlignment="1">
      <alignment horizontal="left" vertical="top" wrapText="1"/>
    </xf>
    <xf numFmtId="189" fontId="50" fillId="0" borderId="2" xfId="2" applyNumberFormat="1" applyFont="1" applyBorder="1" applyAlignment="1">
      <alignment horizontal="right" vertical="top" wrapText="1"/>
    </xf>
    <xf numFmtId="43" fontId="50" fillId="0" borderId="2" xfId="1" applyFont="1" applyBorder="1" applyAlignment="1">
      <alignment vertical="top" wrapText="1"/>
    </xf>
    <xf numFmtId="43" fontId="50" fillId="0" borderId="2" xfId="3" applyFont="1" applyBorder="1" applyAlignment="1">
      <alignment vertical="top" wrapText="1"/>
    </xf>
    <xf numFmtId="2" fontId="50" fillId="0" borderId="2" xfId="2" applyNumberFormat="1" applyFont="1" applyBorder="1" applyAlignment="1">
      <alignment vertical="top" wrapText="1"/>
    </xf>
    <xf numFmtId="43" fontId="50" fillId="17" borderId="2" xfId="1" applyFont="1" applyFill="1" applyBorder="1" applyAlignment="1">
      <alignment vertical="top" wrapText="1"/>
    </xf>
    <xf numFmtId="0" fontId="46" fillId="23" borderId="2" xfId="2" applyFont="1" applyFill="1" applyBorder="1" applyAlignment="1">
      <alignment horizontal="center" vertical="top" wrapText="1"/>
    </xf>
    <xf numFmtId="0" fontId="50" fillId="23" borderId="2" xfId="2" applyFont="1" applyFill="1" applyBorder="1" applyAlignment="1">
      <alignment horizontal="left" vertical="top" wrapText="1"/>
    </xf>
    <xf numFmtId="189" fontId="50" fillId="23" borderId="8" xfId="2" applyNumberFormat="1" applyFont="1" applyFill="1" applyBorder="1" applyAlignment="1">
      <alignment horizontal="right" vertical="top" wrapText="1"/>
    </xf>
    <xf numFmtId="0" fontId="50" fillId="23" borderId="11" xfId="2" applyFont="1" applyFill="1" applyBorder="1" applyAlignment="1">
      <alignment vertical="top" wrapText="1"/>
    </xf>
    <xf numFmtId="0" fontId="46" fillId="23" borderId="11" xfId="2" applyFont="1" applyFill="1" applyBorder="1" applyAlignment="1">
      <alignment vertical="top" wrapText="1"/>
    </xf>
    <xf numFmtId="43" fontId="50" fillId="23" borderId="2" xfId="1" applyFont="1" applyFill="1" applyBorder="1" applyAlignment="1">
      <alignment vertical="top" wrapText="1"/>
    </xf>
    <xf numFmtId="43" fontId="50" fillId="23" borderId="7" xfId="1" applyFont="1" applyFill="1" applyBorder="1" applyAlignment="1">
      <alignment vertical="top" wrapText="1"/>
    </xf>
    <xf numFmtId="43" fontId="50" fillId="23" borderId="7" xfId="3" applyFont="1" applyFill="1" applyBorder="1" applyAlignment="1">
      <alignment vertical="top" wrapText="1"/>
    </xf>
    <xf numFmtId="189" fontId="50" fillId="23" borderId="7" xfId="2" applyNumberFormat="1" applyFont="1" applyFill="1" applyBorder="1" applyAlignment="1">
      <alignment vertical="top" wrapText="1"/>
    </xf>
    <xf numFmtId="0" fontId="50" fillId="23" borderId="2" xfId="2" applyFont="1" applyFill="1" applyBorder="1" applyAlignment="1">
      <alignment horizontal="center" vertical="top" wrapText="1"/>
    </xf>
    <xf numFmtId="43" fontId="50" fillId="23" borderId="2" xfId="1" applyFont="1" applyFill="1" applyBorder="1" applyAlignment="1">
      <alignment horizontal="center" vertical="top" wrapText="1"/>
    </xf>
    <xf numFmtId="0" fontId="51" fillId="23" borderId="2" xfId="2" applyFont="1" applyFill="1" applyBorder="1" applyAlignment="1">
      <alignment vertical="top" wrapText="1"/>
    </xf>
    <xf numFmtId="43" fontId="46" fillId="12" borderId="0" xfId="1" applyFont="1" applyFill="1" applyBorder="1" applyAlignment="1">
      <alignment vertical="top" wrapText="1"/>
    </xf>
    <xf numFmtId="0" fontId="39" fillId="17" borderId="2" xfId="2" applyFont="1" applyFill="1" applyBorder="1" applyAlignment="1">
      <alignment horizontal="left" vertical="top" wrapText="1"/>
    </xf>
    <xf numFmtId="43" fontId="50" fillId="17" borderId="2" xfId="2" applyNumberFormat="1" applyFont="1" applyFill="1" applyBorder="1" applyAlignment="1">
      <alignment vertical="top" wrapText="1"/>
    </xf>
    <xf numFmtId="2" fontId="50" fillId="17" borderId="2" xfId="2" applyNumberFormat="1" applyFont="1" applyFill="1" applyBorder="1" applyAlignment="1">
      <alignment vertical="top" wrapText="1"/>
    </xf>
    <xf numFmtId="43" fontId="50" fillId="17" borderId="0" xfId="1" applyFont="1" applyFill="1" applyBorder="1" applyAlignment="1">
      <alignment vertical="top" wrapText="1"/>
    </xf>
    <xf numFmtId="43" fontId="50" fillId="0" borderId="2" xfId="1" applyFont="1" applyBorder="1" applyAlignment="1">
      <alignment horizontal="center" vertical="top" wrapText="1"/>
    </xf>
    <xf numFmtId="43" fontId="51" fillId="12" borderId="2" xfId="3" applyFont="1" applyFill="1" applyBorder="1" applyAlignment="1">
      <alignment vertical="top" wrapText="1"/>
    </xf>
    <xf numFmtId="0" fontId="51" fillId="17" borderId="2" xfId="2" applyFont="1" applyFill="1" applyBorder="1" applyAlignment="1">
      <alignment horizontal="center" vertical="top" wrapText="1"/>
    </xf>
    <xf numFmtId="43" fontId="51" fillId="17" borderId="2" xfId="2" applyNumberFormat="1" applyFont="1" applyFill="1" applyBorder="1" applyAlignment="1">
      <alignment horizontal="center" vertical="top" wrapText="1"/>
    </xf>
    <xf numFmtId="0" fontId="51" fillId="23" borderId="1" xfId="2" applyFont="1" applyFill="1" applyBorder="1" applyAlignment="1">
      <alignment horizontal="center" vertical="top" wrapText="1"/>
    </xf>
    <xf numFmtId="0" fontId="51" fillId="23" borderId="9" xfId="2" applyFont="1" applyFill="1" applyBorder="1" applyAlignment="1">
      <alignment horizontal="left" vertical="top" wrapText="1"/>
    </xf>
    <xf numFmtId="189" fontId="51" fillId="23" borderId="12" xfId="2" applyNumberFormat="1" applyFont="1" applyFill="1" applyBorder="1" applyAlignment="1">
      <alignment horizontal="right" vertical="top" wrapText="1"/>
    </xf>
    <xf numFmtId="0" fontId="51" fillId="23" borderId="0" xfId="2" applyFont="1" applyFill="1" applyAlignment="1">
      <alignment vertical="top" wrapText="1"/>
    </xf>
    <xf numFmtId="0" fontId="50" fillId="23" borderId="0" xfId="2" applyFont="1" applyFill="1" applyAlignment="1">
      <alignment vertical="top" wrapText="1"/>
    </xf>
    <xf numFmtId="43" fontId="50" fillId="23" borderId="1" xfId="1" applyFont="1" applyFill="1" applyBorder="1" applyAlignment="1">
      <alignment vertical="top" wrapText="1"/>
    </xf>
    <xf numFmtId="43" fontId="50" fillId="23" borderId="13" xfId="1" applyFont="1" applyFill="1" applyBorder="1" applyAlignment="1">
      <alignment vertical="top" wrapText="1"/>
    </xf>
    <xf numFmtId="43" fontId="51" fillId="23" borderId="13" xfId="3" applyFont="1" applyFill="1" applyBorder="1" applyAlignment="1">
      <alignment vertical="top" wrapText="1"/>
    </xf>
    <xf numFmtId="43" fontId="51" fillId="23" borderId="13" xfId="1" applyFont="1" applyFill="1" applyBorder="1" applyAlignment="1">
      <alignment vertical="top" wrapText="1"/>
    </xf>
    <xf numFmtId="2" fontId="51" fillId="23" borderId="1" xfId="2" applyNumberFormat="1" applyFont="1" applyFill="1" applyBorder="1" applyAlignment="1">
      <alignment horizontal="center" vertical="top" wrapText="1"/>
    </xf>
    <xf numFmtId="43" fontId="51" fillId="23" borderId="1" xfId="1" applyFont="1" applyFill="1" applyBorder="1" applyAlignment="1">
      <alignment horizontal="center" vertical="top" wrapText="1"/>
    </xf>
    <xf numFmtId="0" fontId="51" fillId="23" borderId="12" xfId="2" applyFont="1" applyFill="1" applyBorder="1" applyAlignment="1">
      <alignment horizontal="center" vertical="top" wrapText="1"/>
    </xf>
    <xf numFmtId="43" fontId="51" fillId="23" borderId="12" xfId="2" applyNumberFormat="1" applyFont="1" applyFill="1" applyBorder="1" applyAlignment="1">
      <alignment horizontal="center" vertical="top" wrapText="1"/>
    </xf>
    <xf numFmtId="43" fontId="46" fillId="27" borderId="0" xfId="1" applyFont="1" applyFill="1" applyBorder="1" applyAlignment="1">
      <alignment vertical="top" wrapText="1"/>
    </xf>
    <xf numFmtId="189" fontId="39" fillId="0" borderId="2" xfId="2" applyNumberFormat="1" applyFont="1" applyBorder="1" applyAlignment="1">
      <alignment horizontal="right" vertical="top" wrapText="1"/>
    </xf>
    <xf numFmtId="189" fontId="51" fillId="0" borderId="2" xfId="2" applyNumberFormat="1" applyFont="1" applyBorder="1" applyAlignment="1">
      <alignment vertical="top" wrapText="1"/>
    </xf>
    <xf numFmtId="2" fontId="50" fillId="0" borderId="2" xfId="1" applyNumberFormat="1" applyFont="1" applyBorder="1" applyAlignment="1">
      <alignment vertical="top" wrapText="1"/>
    </xf>
    <xf numFmtId="189" fontId="50" fillId="0" borderId="2" xfId="2" applyNumberFormat="1" applyFont="1" applyBorder="1" applyAlignment="1">
      <alignment vertical="top" wrapText="1"/>
    </xf>
    <xf numFmtId="0" fontId="50" fillId="0" borderId="2" xfId="2" applyFont="1" applyBorder="1" applyAlignment="1">
      <alignment horizontal="center" vertical="top" wrapText="1"/>
    </xf>
    <xf numFmtId="43" fontId="39" fillId="0" borderId="0" xfId="1" applyFont="1" applyBorder="1" applyAlignment="1">
      <alignment vertical="top" wrapText="1"/>
    </xf>
    <xf numFmtId="43" fontId="54" fillId="6" borderId="0" xfId="1" applyFont="1" applyFill="1" applyBorder="1" applyAlignment="1">
      <alignment vertical="top" wrapText="1"/>
    </xf>
    <xf numFmtId="0" fontId="39" fillId="0" borderId="2" xfId="2" applyFont="1" applyBorder="1" applyAlignment="1">
      <alignment horizontal="left" vertical="top" wrapText="1"/>
    </xf>
    <xf numFmtId="0" fontId="47" fillId="0" borderId="2" xfId="2" applyFont="1" applyBorder="1" applyAlignment="1">
      <alignment vertical="top" wrapText="1"/>
    </xf>
    <xf numFmtId="2" fontId="51" fillId="0" borderId="2" xfId="2" applyNumberFormat="1" applyFont="1" applyBorder="1" applyAlignment="1">
      <alignment vertical="top" wrapText="1"/>
    </xf>
    <xf numFmtId="189" fontId="51" fillId="12" borderId="2" xfId="2" applyNumberFormat="1" applyFont="1" applyFill="1" applyBorder="1" applyAlignment="1">
      <alignment vertical="top" wrapText="1"/>
    </xf>
    <xf numFmtId="2" fontId="51" fillId="12" borderId="2" xfId="2" applyNumberFormat="1" applyFont="1" applyFill="1" applyBorder="1" applyAlignment="1">
      <alignment vertical="top" wrapText="1"/>
    </xf>
    <xf numFmtId="0" fontId="47" fillId="12" borderId="0" xfId="2" applyFont="1" applyFill="1" applyAlignment="1">
      <alignment vertical="top" wrapText="1"/>
    </xf>
    <xf numFmtId="43" fontId="51" fillId="12" borderId="2" xfId="2" applyNumberFormat="1" applyFont="1" applyFill="1" applyBorder="1" applyAlignment="1">
      <alignment vertical="top" wrapText="1"/>
    </xf>
    <xf numFmtId="43" fontId="56" fillId="12" borderId="0" xfId="1" applyFont="1" applyFill="1" applyBorder="1" applyAlignment="1">
      <alignment vertical="top" wrapText="1"/>
    </xf>
    <xf numFmtId="0" fontId="51" fillId="23" borderId="2" xfId="2" applyFont="1" applyFill="1" applyBorder="1" applyAlignment="1">
      <alignment horizontal="center" vertical="top" wrapText="1"/>
    </xf>
    <xf numFmtId="0" fontId="63" fillId="23" borderId="2" xfId="2" applyFont="1" applyFill="1" applyBorder="1" applyAlignment="1">
      <alignment horizontal="left" vertical="top" wrapText="1"/>
    </xf>
    <xf numFmtId="189" fontId="51" fillId="23" borderId="2" xfId="2" applyNumberFormat="1" applyFont="1" applyFill="1" applyBorder="1" applyAlignment="1">
      <alignment horizontal="right" vertical="top" wrapText="1"/>
    </xf>
    <xf numFmtId="43" fontId="51" fillId="23" borderId="2" xfId="1" applyFont="1" applyFill="1" applyBorder="1" applyAlignment="1">
      <alignment vertical="top" wrapText="1"/>
    </xf>
    <xf numFmtId="43" fontId="51" fillId="23" borderId="2" xfId="3" applyFont="1" applyFill="1" applyBorder="1" applyAlignment="1">
      <alignment vertical="top" wrapText="1"/>
    </xf>
    <xf numFmtId="2" fontId="51" fillId="23" borderId="2" xfId="3" applyNumberFormat="1" applyFont="1" applyFill="1" applyBorder="1" applyAlignment="1">
      <alignment vertical="top" wrapText="1"/>
    </xf>
    <xf numFmtId="189" fontId="51" fillId="23" borderId="2" xfId="2" applyNumberFormat="1" applyFont="1" applyFill="1" applyBorder="1" applyAlignment="1">
      <alignment vertical="top" wrapText="1"/>
    </xf>
    <xf numFmtId="43" fontId="51" fillId="23" borderId="2" xfId="2" applyNumberFormat="1" applyFont="1" applyFill="1" applyBorder="1" applyAlignment="1">
      <alignment vertical="top" wrapText="1"/>
    </xf>
    <xf numFmtId="2" fontId="51" fillId="23" borderId="2" xfId="2" applyNumberFormat="1" applyFont="1" applyFill="1" applyBorder="1" applyAlignment="1">
      <alignment vertical="top" wrapText="1"/>
    </xf>
    <xf numFmtId="43" fontId="48" fillId="23" borderId="0" xfId="1" applyFont="1" applyFill="1" applyBorder="1" applyAlignment="1">
      <alignment vertical="top" wrapText="1"/>
    </xf>
    <xf numFmtId="0" fontId="51" fillId="23" borderId="2" xfId="2" applyFont="1" applyFill="1" applyBorder="1" applyAlignment="1">
      <alignment horizontal="left" vertical="top" wrapText="1"/>
    </xf>
    <xf numFmtId="0" fontId="46" fillId="23" borderId="0" xfId="2" applyFont="1" applyFill="1" applyAlignment="1">
      <alignment vertical="top" wrapText="1"/>
    </xf>
    <xf numFmtId="0" fontId="48" fillId="23" borderId="2" xfId="2" applyFont="1" applyFill="1" applyBorder="1" applyAlignment="1">
      <alignment vertical="top" wrapText="1"/>
    </xf>
    <xf numFmtId="0" fontId="51" fillId="23" borderId="1" xfId="2" applyFont="1" applyFill="1" applyBorder="1" applyAlignment="1">
      <alignment horizontal="left" vertical="top" wrapText="1"/>
    </xf>
    <xf numFmtId="43" fontId="51" fillId="23" borderId="1" xfId="1" applyFont="1" applyFill="1" applyBorder="1" applyAlignment="1">
      <alignment vertical="top" wrapText="1"/>
    </xf>
    <xf numFmtId="0" fontId="51" fillId="23" borderId="1" xfId="2" applyFont="1" applyFill="1" applyBorder="1" applyAlignment="1">
      <alignment vertical="top" wrapText="1"/>
    </xf>
    <xf numFmtId="43" fontId="51" fillId="23" borderId="1" xfId="3" applyFont="1" applyFill="1" applyBorder="1" applyAlignment="1">
      <alignment vertical="top" wrapText="1"/>
    </xf>
    <xf numFmtId="43" fontId="51" fillId="23" borderId="1" xfId="2" applyNumberFormat="1" applyFont="1" applyFill="1" applyBorder="1" applyAlignment="1">
      <alignment vertical="top" wrapText="1"/>
    </xf>
    <xf numFmtId="43" fontId="0" fillId="0" borderId="0" xfId="1" applyFont="1" applyAlignment="1">
      <alignment horizontal="center" vertical="center"/>
    </xf>
    <xf numFmtId="43" fontId="41" fillId="0" borderId="0" xfId="1" applyFont="1" applyAlignment="1">
      <alignment horizontal="center"/>
    </xf>
    <xf numFmtId="43" fontId="0" fillId="0" borderId="0" xfId="0" applyNumberFormat="1"/>
    <xf numFmtId="43" fontId="0" fillId="0" borderId="0" xfId="0" applyNumberFormat="1" applyAlignment="1">
      <alignment horizontal="center" vertical="center"/>
    </xf>
    <xf numFmtId="0" fontId="50" fillId="23" borderId="9" xfId="2" applyFont="1" applyFill="1" applyBorder="1" applyAlignment="1">
      <alignment vertical="top" wrapText="1"/>
    </xf>
    <xf numFmtId="0" fontId="46" fillId="23" borderId="1" xfId="2" applyFont="1" applyFill="1" applyBorder="1" applyAlignment="1">
      <alignment vertical="top" wrapText="1"/>
    </xf>
    <xf numFmtId="4" fontId="57" fillId="18" borderId="2" xfId="0" applyNumberFormat="1" applyFont="1" applyFill="1" applyBorder="1" applyAlignment="1">
      <alignment horizontal="center" vertical="top" wrapText="1"/>
    </xf>
    <xf numFmtId="0" fontId="50" fillId="12" borderId="2" xfId="2" applyFont="1" applyFill="1" applyBorder="1" applyAlignment="1">
      <alignment horizontal="center" vertical="top" wrapText="1"/>
    </xf>
    <xf numFmtId="0" fontId="50" fillId="12" borderId="2" xfId="2" applyFont="1" applyFill="1" applyBorder="1" applyAlignment="1">
      <alignment horizontal="left" vertical="top" wrapText="1"/>
    </xf>
    <xf numFmtId="189" fontId="50" fillId="12" borderId="2" xfId="2" applyNumberFormat="1" applyFont="1" applyFill="1" applyBorder="1" applyAlignment="1">
      <alignment horizontal="right" vertical="top" wrapText="1"/>
    </xf>
    <xf numFmtId="2" fontId="51" fillId="12" borderId="2" xfId="3" applyNumberFormat="1" applyFont="1" applyFill="1" applyBorder="1" applyAlignment="1">
      <alignment vertical="top" wrapText="1"/>
    </xf>
    <xf numFmtId="2" fontId="50" fillId="12" borderId="2" xfId="2" applyNumberFormat="1" applyFont="1" applyFill="1" applyBorder="1" applyAlignment="1">
      <alignment horizontal="center" vertical="top" wrapText="1"/>
    </xf>
    <xf numFmtId="43" fontId="50" fillId="12" borderId="2" xfId="2" applyNumberFormat="1" applyFont="1" applyFill="1" applyBorder="1" applyAlignment="1">
      <alignment horizontal="center" vertical="top" wrapText="1"/>
    </xf>
    <xf numFmtId="0" fontId="48" fillId="12" borderId="2" xfId="2" applyFont="1" applyFill="1" applyBorder="1" applyAlignment="1">
      <alignment vertical="top" wrapText="1"/>
    </xf>
    <xf numFmtId="43" fontId="52" fillId="12" borderId="0" xfId="1" applyFont="1" applyFill="1" applyBorder="1" applyAlignment="1">
      <alignment vertical="top" wrapText="1"/>
    </xf>
    <xf numFmtId="189" fontId="50" fillId="12" borderId="2" xfId="2" applyNumberFormat="1" applyFont="1" applyFill="1" applyBorder="1" applyAlignment="1">
      <alignment vertical="top" wrapText="1"/>
    </xf>
    <xf numFmtId="2" fontId="50" fillId="12" borderId="2" xfId="1" applyNumberFormat="1" applyFont="1" applyFill="1" applyBorder="1" applyAlignment="1">
      <alignment horizontal="center" vertical="top" wrapText="1"/>
    </xf>
    <xf numFmtId="43" fontId="50" fillId="12" borderId="2" xfId="1" applyFont="1" applyFill="1" applyBorder="1" applyAlignment="1">
      <alignment horizontal="center" vertical="top" wrapText="1"/>
    </xf>
    <xf numFmtId="0" fontId="46" fillId="21" borderId="0" xfId="0" applyFont="1" applyFill="1"/>
    <xf numFmtId="43" fontId="0" fillId="6" borderId="0" xfId="1" applyFont="1" applyFill="1"/>
    <xf numFmtId="0" fontId="0" fillId="2" borderId="0" xfId="0" applyFill="1"/>
    <xf numFmtId="0" fontId="29" fillId="13" borderId="0" xfId="0" applyFont="1" applyFill="1"/>
    <xf numFmtId="0" fontId="46" fillId="5" borderId="0" xfId="0" applyFont="1" applyFill="1" applyAlignment="1">
      <alignment vertical="top"/>
    </xf>
    <xf numFmtId="4" fontId="24" fillId="21" borderId="0" xfId="0" applyNumberFormat="1" applyFont="1" applyFill="1"/>
    <xf numFmtId="4" fontId="27" fillId="21" borderId="0" xfId="0" applyNumberFormat="1" applyFont="1" applyFill="1"/>
    <xf numFmtId="4" fontId="24" fillId="7" borderId="0" xfId="0" applyNumberFormat="1" applyFont="1" applyFill="1"/>
    <xf numFmtId="4" fontId="27" fillId="7" borderId="0" xfId="0" applyNumberFormat="1" applyFont="1" applyFill="1"/>
    <xf numFmtId="0" fontId="75" fillId="9" borderId="8" xfId="0" applyFont="1" applyFill="1" applyBorder="1" applyAlignment="1">
      <alignment horizontal="center" vertical="center"/>
    </xf>
    <xf numFmtId="0" fontId="76" fillId="0" borderId="0" xfId="2" applyFont="1" applyAlignment="1">
      <alignment horizontal="left" vertical="top" wrapText="1"/>
    </xf>
    <xf numFmtId="43" fontId="39" fillId="12" borderId="0" xfId="1" applyFont="1" applyFill="1" applyBorder="1" applyAlignment="1">
      <alignment vertical="top" wrapText="1"/>
    </xf>
    <xf numFmtId="0" fontId="46" fillId="26" borderId="2" xfId="2" applyFont="1" applyFill="1" applyBorder="1" applyAlignment="1">
      <alignment horizontal="center" vertical="top" wrapText="1"/>
    </xf>
    <xf numFmtId="0" fontId="35" fillId="26" borderId="9" xfId="2" applyFont="1" applyFill="1" applyBorder="1" applyAlignment="1">
      <alignment horizontal="left" vertical="top" wrapText="1"/>
    </xf>
    <xf numFmtId="43" fontId="29" fillId="26" borderId="12" xfId="1" applyFont="1" applyFill="1" applyBorder="1" applyAlignment="1">
      <alignment horizontal="right" vertical="top" wrapText="1"/>
    </xf>
    <xf numFmtId="43" fontId="35" fillId="26" borderId="9" xfId="2" applyNumberFormat="1" applyFont="1" applyFill="1" applyBorder="1" applyAlignment="1">
      <alignment vertical="top" wrapText="1"/>
    </xf>
    <xf numFmtId="0" fontId="26" fillId="26" borderId="2" xfId="2" applyFont="1" applyFill="1" applyBorder="1" applyAlignment="1">
      <alignment horizontal="left" vertical="top" wrapText="1"/>
    </xf>
    <xf numFmtId="189" fontId="35" fillId="26" borderId="2" xfId="2" applyNumberFormat="1" applyFont="1" applyFill="1" applyBorder="1" applyAlignment="1">
      <alignment horizontal="right" vertical="top" wrapText="1"/>
    </xf>
    <xf numFmtId="43" fontId="35" fillId="26" borderId="2" xfId="1" applyFont="1" applyFill="1" applyBorder="1" applyAlignment="1">
      <alignment horizontal="right" vertical="top" wrapText="1"/>
    </xf>
    <xf numFmtId="43" fontId="48" fillId="26" borderId="2" xfId="1" applyFont="1" applyFill="1" applyBorder="1" applyAlignment="1">
      <alignment vertical="top" wrapText="1"/>
    </xf>
    <xf numFmtId="43" fontId="35" fillId="26" borderId="2" xfId="2" applyNumberFormat="1" applyFont="1" applyFill="1" applyBorder="1" applyAlignment="1">
      <alignment vertical="top" wrapText="1"/>
    </xf>
    <xf numFmtId="0" fontId="35" fillId="26" borderId="2" xfId="2" applyFont="1" applyFill="1" applyBorder="1" applyAlignment="1">
      <alignment horizontal="left" vertical="top" wrapText="1"/>
    </xf>
    <xf numFmtId="189" fontId="26" fillId="26" borderId="2" xfId="2" applyNumberFormat="1" applyFont="1" applyFill="1" applyBorder="1" applyAlignment="1">
      <alignment horizontal="right" vertical="top" wrapText="1"/>
    </xf>
    <xf numFmtId="0" fontId="50" fillId="26" borderId="2" xfId="2" applyFont="1" applyFill="1" applyBorder="1" applyAlignment="1">
      <alignment vertical="top" wrapText="1"/>
    </xf>
    <xf numFmtId="43" fontId="26" fillId="26" borderId="2" xfId="1" applyFont="1" applyFill="1" applyBorder="1" applyAlignment="1">
      <alignment vertical="top" wrapText="1"/>
    </xf>
    <xf numFmtId="43" fontId="26" fillId="26" borderId="2" xfId="3" applyFont="1" applyFill="1" applyBorder="1" applyAlignment="1">
      <alignment vertical="top" wrapText="1"/>
    </xf>
    <xf numFmtId="43" fontId="35" fillId="26" borderId="2" xfId="3" applyFont="1" applyFill="1" applyBorder="1" applyAlignment="1">
      <alignment vertical="top" wrapText="1"/>
    </xf>
    <xf numFmtId="0" fontId="35" fillId="26" borderId="2" xfId="2" applyFont="1" applyFill="1" applyBorder="1" applyAlignment="1">
      <alignment vertical="top" wrapText="1"/>
    </xf>
    <xf numFmtId="43" fontId="57" fillId="26" borderId="2" xfId="2" applyNumberFormat="1" applyFont="1" applyFill="1" applyBorder="1" applyAlignment="1">
      <alignment vertical="top" wrapText="1"/>
    </xf>
    <xf numFmtId="43" fontId="56" fillId="26" borderId="2" xfId="2" applyNumberFormat="1" applyFont="1" applyFill="1" applyBorder="1" applyAlignment="1">
      <alignment vertical="top" wrapText="1"/>
    </xf>
    <xf numFmtId="0" fontId="26" fillId="26" borderId="9" xfId="2" applyFont="1" applyFill="1" applyBorder="1" applyAlignment="1">
      <alignment horizontal="left" vertical="top" wrapText="1"/>
    </xf>
    <xf numFmtId="43" fontId="26" fillId="26" borderId="12" xfId="1" applyFont="1" applyFill="1" applyBorder="1" applyAlignment="1">
      <alignment horizontal="right" vertical="top" wrapText="1"/>
    </xf>
    <xf numFmtId="187" fontId="26" fillId="26" borderId="12" xfId="1" applyNumberFormat="1" applyFont="1" applyFill="1" applyBorder="1" applyAlignment="1">
      <alignment horizontal="right" vertical="top" wrapText="1"/>
    </xf>
    <xf numFmtId="0" fontId="39" fillId="0" borderId="0" xfId="2" applyFont="1" applyAlignment="1">
      <alignment vertical="top" wrapText="1"/>
    </xf>
    <xf numFmtId="0" fontId="50" fillId="23" borderId="2" xfId="2" applyFont="1" applyFill="1" applyBorder="1" applyAlignment="1">
      <alignment vertical="top" wrapText="1"/>
    </xf>
    <xf numFmtId="2" fontId="43" fillId="0" borderId="0" xfId="2" applyNumberFormat="1" applyFont="1" applyAlignment="1">
      <alignment horizontal="left" vertical="top" wrapText="1"/>
    </xf>
    <xf numFmtId="43" fontId="43" fillId="0" borderId="0" xfId="2" applyNumberFormat="1" applyFont="1" applyAlignment="1">
      <alignment vertical="top" wrapText="1"/>
    </xf>
    <xf numFmtId="43" fontId="35" fillId="0" borderId="0" xfId="1" applyFont="1" applyBorder="1" applyAlignment="1">
      <alignment horizontal="center" vertical="top" wrapText="1"/>
    </xf>
    <xf numFmtId="43" fontId="87" fillId="22" borderId="13" xfId="1" applyFont="1" applyFill="1" applyBorder="1" applyAlignment="1">
      <alignment horizontal="center" vertical="center"/>
    </xf>
    <xf numFmtId="43" fontId="87" fillId="27" borderId="7" xfId="1" applyFont="1" applyFill="1" applyBorder="1" applyAlignment="1">
      <alignment horizontal="center" vertical="center"/>
    </xf>
    <xf numFmtId="0" fontId="91" fillId="0" borderId="3" xfId="4" applyFont="1" applyBorder="1" applyAlignment="1">
      <alignment horizontal="left" vertical="top" wrapText="1"/>
    </xf>
    <xf numFmtId="4" fontId="93" fillId="3" borderId="2" xfId="4" applyNumberFormat="1" applyFont="1" applyFill="1" applyBorder="1" applyAlignment="1">
      <alignment vertical="top"/>
    </xf>
    <xf numFmtId="0" fontId="104" fillId="0" borderId="0" xfId="4" applyFont="1" applyAlignment="1">
      <alignment vertical="top"/>
    </xf>
    <xf numFmtId="4" fontId="93" fillId="0" borderId="0" xfId="4" applyNumberFormat="1" applyFont="1" applyAlignment="1">
      <alignment vertical="top"/>
    </xf>
    <xf numFmtId="0" fontId="103" fillId="3" borderId="3" xfId="4" applyFont="1" applyFill="1" applyBorder="1" applyAlignment="1">
      <alignment horizontal="left" vertical="top" wrapText="1"/>
    </xf>
    <xf numFmtId="0" fontId="75" fillId="9" borderId="16" xfId="0" applyFont="1" applyFill="1" applyBorder="1" applyAlignment="1">
      <alignment horizontal="center" vertical="center"/>
    </xf>
    <xf numFmtId="43" fontId="78" fillId="16" borderId="2" xfId="1" applyFont="1" applyFill="1" applyBorder="1" applyAlignment="1">
      <alignment horizontal="center" vertical="top" wrapText="1"/>
    </xf>
    <xf numFmtId="43" fontId="78" fillId="5" borderId="2" xfId="1" applyFont="1" applyFill="1" applyBorder="1" applyAlignment="1">
      <alignment horizontal="left" vertical="top" wrapText="1"/>
    </xf>
    <xf numFmtId="43" fontId="85" fillId="12" borderId="2" xfId="1" applyFont="1" applyFill="1" applyBorder="1" applyAlignment="1">
      <alignment horizontal="left" vertical="top" wrapText="1"/>
    </xf>
    <xf numFmtId="43" fontId="78" fillId="13" borderId="2" xfId="1" applyFont="1" applyFill="1" applyBorder="1" applyAlignment="1">
      <alignment horizontal="center" vertical="top" wrapText="1"/>
    </xf>
    <xf numFmtId="43" fontId="78" fillId="12" borderId="2" xfId="1" applyFont="1" applyFill="1" applyBorder="1" applyAlignment="1">
      <alignment horizontal="left" vertical="top" wrapText="1"/>
    </xf>
    <xf numFmtId="43" fontId="78" fillId="9" borderId="2" xfId="1" applyFont="1" applyFill="1" applyBorder="1" applyAlignment="1">
      <alignment horizontal="center" vertical="top" wrapText="1"/>
    </xf>
    <xf numFmtId="2" fontId="57" fillId="7" borderId="2" xfId="0" applyNumberFormat="1" applyFont="1" applyFill="1" applyBorder="1" applyAlignment="1">
      <alignment horizontal="center" vertical="center" wrapText="1"/>
    </xf>
    <xf numFmtId="4" fontId="91" fillId="26" borderId="3" xfId="4" applyNumberFormat="1" applyFont="1" applyFill="1" applyBorder="1" applyAlignment="1">
      <alignment horizontal="center" vertical="center"/>
    </xf>
    <xf numFmtId="4" fontId="91" fillId="26" borderId="16" xfId="4" applyNumberFormat="1" applyFont="1" applyFill="1" applyBorder="1" applyAlignment="1">
      <alignment horizontal="center" vertical="center"/>
    </xf>
    <xf numFmtId="0" fontId="91" fillId="12" borderId="3" xfId="4" applyFont="1" applyFill="1" applyBorder="1" applyAlignment="1">
      <alignment horizontal="left" vertical="top" wrapText="1"/>
    </xf>
    <xf numFmtId="4" fontId="93" fillId="12" borderId="3" xfId="4" applyNumberFormat="1" applyFont="1" applyFill="1" applyBorder="1" applyAlignment="1">
      <alignment horizontal="center" vertical="top"/>
    </xf>
    <xf numFmtId="4" fontId="93" fillId="12" borderId="2" xfId="4" applyNumberFormat="1" applyFont="1" applyFill="1" applyBorder="1" applyAlignment="1">
      <alignment horizontal="center" vertical="top"/>
    </xf>
    <xf numFmtId="0" fontId="92" fillId="0" borderId="0" xfId="4" applyFont="1" applyAlignment="1">
      <alignment vertical="top"/>
    </xf>
    <xf numFmtId="4" fontId="47" fillId="12" borderId="3" xfId="4" applyNumberFormat="1" applyFont="1" applyFill="1" applyBorder="1" applyAlignment="1">
      <alignment horizontal="left" vertical="top" wrapText="1"/>
    </xf>
    <xf numFmtId="4" fontId="94" fillId="3" borderId="2" xfId="4" applyNumberFormat="1" applyFont="1" applyFill="1" applyBorder="1" applyAlignment="1">
      <alignment horizontal="center" vertical="top"/>
    </xf>
    <xf numFmtId="0" fontId="91" fillId="3" borderId="2" xfId="4" applyFont="1" applyFill="1" applyBorder="1" applyAlignment="1">
      <alignment horizontal="left" vertical="top" wrapText="1"/>
    </xf>
    <xf numFmtId="4" fontId="94" fillId="0" borderId="3" xfId="4" applyNumberFormat="1" applyFont="1" applyBorder="1" applyAlignment="1">
      <alignment horizontal="center" vertical="top"/>
    </xf>
    <xf numFmtId="4" fontId="95" fillId="0" borderId="3" xfId="4" applyNumberFormat="1" applyFont="1" applyBorder="1" applyAlignment="1">
      <alignment horizontal="center" vertical="top"/>
    </xf>
    <xf numFmtId="4" fontId="92" fillId="0" borderId="0" xfId="4" applyNumberFormat="1" applyFont="1" applyAlignment="1">
      <alignment vertical="top"/>
    </xf>
    <xf numFmtId="0" fontId="91" fillId="3" borderId="3" xfId="4" applyFont="1" applyFill="1" applyBorder="1" applyAlignment="1">
      <alignment horizontal="left" vertical="top"/>
    </xf>
    <xf numFmtId="4" fontId="47" fillId="3" borderId="2" xfId="4" applyNumberFormat="1" applyFont="1" applyFill="1" applyBorder="1" applyAlignment="1">
      <alignment vertical="top"/>
    </xf>
    <xf numFmtId="43" fontId="76" fillId="0" borderId="0" xfId="2" applyNumberFormat="1" applyFont="1" applyAlignment="1">
      <alignment horizontal="left" vertical="top" wrapText="1"/>
    </xf>
    <xf numFmtId="0" fontId="47" fillId="17" borderId="2" xfId="2" applyFont="1" applyFill="1" applyBorder="1" applyAlignment="1">
      <alignment vertical="top" wrapText="1"/>
    </xf>
    <xf numFmtId="0" fontId="46" fillId="17" borderId="2" xfId="2" applyFont="1" applyFill="1" applyBorder="1" applyAlignment="1">
      <alignment vertical="top" wrapText="1"/>
    </xf>
    <xf numFmtId="4" fontId="10" fillId="3" borderId="2" xfId="4" applyNumberFormat="1" applyFont="1" applyFill="1" applyBorder="1" applyAlignment="1">
      <alignment horizontal="left" vertical="top" wrapText="1"/>
    </xf>
    <xf numFmtId="4" fontId="46" fillId="3" borderId="2" xfId="4" applyNumberFormat="1" applyFont="1" applyFill="1" applyBorder="1" applyAlignment="1">
      <alignment vertical="top" wrapText="1"/>
    </xf>
    <xf numFmtId="4" fontId="52" fillId="0" borderId="2" xfId="4" applyNumberFormat="1" applyFont="1" applyBorder="1" applyAlignment="1">
      <alignment vertical="top" wrapText="1"/>
    </xf>
    <xf numFmtId="4" fontId="47" fillId="0" borderId="2" xfId="4" applyNumberFormat="1" applyFont="1" applyBorder="1" applyAlignment="1">
      <alignment vertical="top" wrapText="1"/>
    </xf>
    <xf numFmtId="4" fontId="91" fillId="2" borderId="0" xfId="4" applyNumberFormat="1" applyFont="1" applyFill="1"/>
    <xf numFmtId="0" fontId="47" fillId="0" borderId="3" xfId="4" applyFont="1" applyBorder="1" applyAlignment="1">
      <alignment horizontal="left" vertical="top" wrapText="1"/>
    </xf>
    <xf numFmtId="43" fontId="39" fillId="0" borderId="2" xfId="3" applyFont="1" applyBorder="1" applyAlignment="1">
      <alignment vertical="top" wrapText="1"/>
    </xf>
    <xf numFmtId="0" fontId="39" fillId="0" borderId="2" xfId="2" applyFont="1" applyBorder="1" applyAlignment="1">
      <alignment vertical="top" wrapText="1"/>
    </xf>
    <xf numFmtId="43" fontId="39" fillId="0" borderId="2" xfId="1" applyFont="1" applyBorder="1" applyAlignment="1">
      <alignment horizontal="center" vertical="top" wrapText="1"/>
    </xf>
    <xf numFmtId="43" fontId="39" fillId="12" borderId="2" xfId="3" applyFont="1" applyFill="1" applyBorder="1" applyAlignment="1">
      <alignment vertical="top" wrapText="1"/>
    </xf>
    <xf numFmtId="2" fontId="39" fillId="0" borderId="2" xfId="3" applyNumberFormat="1" applyFont="1" applyBorder="1" applyAlignment="1">
      <alignment vertical="top" wrapText="1"/>
    </xf>
    <xf numFmtId="43" fontId="39" fillId="12" borderId="2" xfId="1" applyFont="1" applyFill="1" applyBorder="1" applyAlignment="1">
      <alignment vertical="top" wrapText="1"/>
    </xf>
    <xf numFmtId="43" fontId="51" fillId="17" borderId="2" xfId="2" applyNumberFormat="1" applyFont="1" applyFill="1" applyBorder="1" applyAlignment="1">
      <alignment vertical="top" wrapText="1"/>
    </xf>
    <xf numFmtId="43" fontId="0" fillId="23" borderId="0" xfId="1" applyFont="1" applyFill="1"/>
    <xf numFmtId="43" fontId="0" fillId="2" borderId="0" xfId="1" applyFont="1" applyFill="1"/>
    <xf numFmtId="0" fontId="0" fillId="23" borderId="2" xfId="0" applyFill="1" applyBorder="1" applyAlignment="1">
      <alignment horizontal="center"/>
    </xf>
    <xf numFmtId="43" fontId="0" fillId="23" borderId="2" xfId="1" applyFont="1" applyFill="1" applyBorder="1" applyAlignment="1">
      <alignment horizontal="center"/>
    </xf>
    <xf numFmtId="43" fontId="0" fillId="7" borderId="2" xfId="1" applyFont="1" applyFill="1" applyBorder="1" applyAlignment="1">
      <alignment horizontal="center"/>
    </xf>
    <xf numFmtId="43" fontId="0" fillId="8" borderId="2" xfId="1" applyFont="1" applyFill="1" applyBorder="1" applyAlignment="1">
      <alignment horizontal="center"/>
    </xf>
    <xf numFmtId="43" fontId="0" fillId="24" borderId="2" xfId="1" applyFont="1" applyFill="1" applyBorder="1" applyAlignment="1">
      <alignment horizontal="center"/>
    </xf>
    <xf numFmtId="43" fontId="36" fillId="7" borderId="2" xfId="1" applyFont="1" applyFill="1" applyBorder="1" applyAlignment="1">
      <alignment horizontal="center" vertical="top" wrapText="1"/>
    </xf>
    <xf numFmtId="4" fontId="63" fillId="21" borderId="2" xfId="0" applyNumberFormat="1" applyFont="1" applyFill="1" applyBorder="1" applyAlignment="1">
      <alignment horizontal="center" vertical="top" wrapText="1"/>
    </xf>
    <xf numFmtId="4" fontId="107" fillId="15" borderId="2" xfId="0" applyNumberFormat="1" applyFont="1" applyFill="1" applyBorder="1" applyAlignment="1">
      <alignment horizontal="center" vertical="top" wrapText="1"/>
    </xf>
    <xf numFmtId="43" fontId="78" fillId="19" borderId="2" xfId="1" applyFont="1" applyFill="1" applyBorder="1" applyAlignment="1">
      <alignment horizontal="center" vertical="top" wrapText="1"/>
    </xf>
    <xf numFmtId="4" fontId="72" fillId="0" borderId="0" xfId="0" applyNumberFormat="1" applyFont="1" applyAlignment="1">
      <alignment horizontal="center" vertical="center"/>
    </xf>
    <xf numFmtId="2" fontId="72" fillId="7" borderId="0" xfId="0" applyNumberFormat="1" applyFont="1" applyFill="1" applyAlignment="1">
      <alignment horizontal="center" vertical="center"/>
    </xf>
    <xf numFmtId="43" fontId="22" fillId="0" borderId="0" xfId="2" applyNumberFormat="1" applyFont="1" applyAlignment="1">
      <alignment horizontal="left" vertical="top" wrapText="1"/>
    </xf>
    <xf numFmtId="0" fontId="54" fillId="0" borderId="0" xfId="2" applyFont="1" applyAlignment="1">
      <alignment horizontal="right" vertical="top" wrapText="1"/>
    </xf>
    <xf numFmtId="0" fontId="65" fillId="0" borderId="0" xfId="2" applyFont="1" applyAlignment="1">
      <alignment horizontal="right" vertical="top" wrapText="1"/>
    </xf>
    <xf numFmtId="0" fontId="48" fillId="12" borderId="0" xfId="0" applyFont="1" applyFill="1"/>
    <xf numFmtId="0" fontId="48" fillId="15" borderId="0" xfId="0" applyFont="1" applyFill="1"/>
    <xf numFmtId="0" fontId="46" fillId="15" borderId="0" xfId="0" applyFont="1" applyFill="1"/>
    <xf numFmtId="0" fontId="46" fillId="17" borderId="0" xfId="0" applyFont="1" applyFill="1"/>
    <xf numFmtId="0" fontId="46" fillId="17" borderId="0" xfId="0" applyFont="1" applyFill="1" applyAlignment="1">
      <alignment vertical="top"/>
    </xf>
    <xf numFmtId="0" fontId="111" fillId="0" borderId="0" xfId="0" applyFont="1"/>
    <xf numFmtId="3" fontId="108" fillId="7" borderId="2" xfId="0" applyNumberFormat="1" applyFont="1" applyFill="1" applyBorder="1" applyAlignment="1">
      <alignment horizontal="center" vertical="top" wrapText="1"/>
    </xf>
    <xf numFmtId="0" fontId="114" fillId="0" borderId="0" xfId="0" applyFont="1"/>
    <xf numFmtId="0" fontId="114" fillId="0" borderId="0" xfId="0" applyFont="1" applyAlignment="1">
      <alignment wrapText="1"/>
    </xf>
    <xf numFmtId="0" fontId="113" fillId="21" borderId="4" xfId="0" applyFont="1" applyFill="1" applyBorder="1" applyAlignment="1">
      <alignment horizontal="center" vertical="top" wrapText="1"/>
    </xf>
    <xf numFmtId="187" fontId="113" fillId="21" borderId="4" xfId="0" applyNumberFormat="1" applyFont="1" applyFill="1" applyBorder="1" applyAlignment="1">
      <alignment horizontal="left" vertical="top" wrapText="1"/>
    </xf>
    <xf numFmtId="187" fontId="113" fillId="21" borderId="4" xfId="0" applyNumberFormat="1" applyFont="1" applyFill="1" applyBorder="1" applyAlignment="1">
      <alignment horizontal="center" vertical="top" wrapText="1"/>
    </xf>
    <xf numFmtId="0" fontId="113" fillId="21" borderId="4" xfId="0" applyFont="1" applyFill="1" applyBorder="1" applyAlignment="1">
      <alignment horizontal="left" vertical="top" wrapText="1"/>
    </xf>
    <xf numFmtId="0" fontId="114" fillId="21" borderId="4" xfId="0" applyFont="1" applyFill="1" applyBorder="1" applyAlignment="1">
      <alignment horizontal="center" vertical="top" wrapText="1"/>
    </xf>
    <xf numFmtId="0" fontId="113" fillId="21" borderId="4" xfId="1" applyNumberFormat="1" applyFont="1" applyFill="1" applyBorder="1" applyAlignment="1">
      <alignment horizontal="center" vertical="top" wrapText="1"/>
    </xf>
    <xf numFmtId="2" fontId="114" fillId="21" borderId="4" xfId="0" applyNumberFormat="1" applyFont="1" applyFill="1" applyBorder="1" applyAlignment="1">
      <alignment wrapText="1"/>
    </xf>
    <xf numFmtId="0" fontId="114" fillId="21" borderId="4" xfId="0" applyFont="1" applyFill="1" applyBorder="1" applyAlignment="1">
      <alignment wrapText="1"/>
    </xf>
    <xf numFmtId="0" fontId="113" fillId="21" borderId="9" xfId="0" applyFont="1" applyFill="1" applyBorder="1" applyAlignment="1">
      <alignment horizontal="center" vertical="top" wrapText="1"/>
    </xf>
    <xf numFmtId="187" fontId="113" fillId="21" borderId="9" xfId="1" applyNumberFormat="1" applyFont="1" applyFill="1" applyBorder="1" applyAlignment="1">
      <alignment horizontal="left" vertical="top" wrapText="1"/>
    </xf>
    <xf numFmtId="187" fontId="113" fillId="21" borderId="9" xfId="1" applyNumberFormat="1" applyFont="1" applyFill="1" applyBorder="1" applyAlignment="1">
      <alignment horizontal="center" vertical="top" wrapText="1"/>
    </xf>
    <xf numFmtId="0" fontId="113" fillId="21" borderId="9" xfId="0" applyFont="1" applyFill="1" applyBorder="1" applyAlignment="1">
      <alignment horizontal="left" vertical="top" wrapText="1"/>
    </xf>
    <xf numFmtId="0" fontId="113" fillId="21" borderId="9" xfId="1" applyNumberFormat="1" applyFont="1" applyFill="1" applyBorder="1" applyAlignment="1">
      <alignment horizontal="center" vertical="top" wrapText="1"/>
    </xf>
    <xf numFmtId="2" fontId="113" fillId="21" borderId="9" xfId="0" applyNumberFormat="1" applyFont="1" applyFill="1" applyBorder="1" applyAlignment="1">
      <alignment wrapText="1"/>
    </xf>
    <xf numFmtId="0" fontId="113" fillId="21" borderId="9" xfId="0" applyFont="1" applyFill="1" applyBorder="1" applyAlignment="1">
      <alignment wrapText="1"/>
    </xf>
    <xf numFmtId="0" fontId="114" fillId="17" borderId="10" xfId="0" applyFont="1" applyFill="1" applyBorder="1" applyAlignment="1">
      <alignment horizontal="center" vertical="top" wrapText="1"/>
    </xf>
    <xf numFmtId="187" fontId="114" fillId="17" borderId="10" xfId="1" applyNumberFormat="1" applyFont="1" applyFill="1" applyBorder="1" applyAlignment="1">
      <alignment horizontal="left" vertical="top" wrapText="1"/>
    </xf>
    <xf numFmtId="187" fontId="114" fillId="17" borderId="10" xfId="1" applyNumberFormat="1" applyFont="1" applyFill="1" applyBorder="1" applyAlignment="1">
      <alignment horizontal="center" vertical="top" wrapText="1"/>
    </xf>
    <xf numFmtId="0" fontId="114" fillId="17" borderId="10" xfId="0" applyFont="1" applyFill="1" applyBorder="1" applyAlignment="1">
      <alignment horizontal="left" vertical="top" wrapText="1"/>
    </xf>
    <xf numFmtId="0" fontId="114" fillId="17" borderId="9" xfId="0" applyFont="1" applyFill="1" applyBorder="1" applyAlignment="1">
      <alignment horizontal="center" vertical="top" wrapText="1"/>
    </xf>
    <xf numFmtId="0" fontId="114" fillId="17" borderId="9" xfId="1" applyNumberFormat="1" applyFont="1" applyFill="1" applyBorder="1" applyAlignment="1">
      <alignment horizontal="center" vertical="top" wrapText="1"/>
    </xf>
    <xf numFmtId="2" fontId="114" fillId="17" borderId="9" xfId="0" applyNumberFormat="1" applyFont="1" applyFill="1" applyBorder="1" applyAlignment="1">
      <alignment vertical="top" wrapText="1"/>
    </xf>
    <xf numFmtId="0" fontId="114" fillId="17" borderId="9" xfId="0" applyFont="1" applyFill="1" applyBorder="1" applyAlignment="1">
      <alignment vertical="top" wrapText="1"/>
    </xf>
    <xf numFmtId="0" fontId="114" fillId="29" borderId="5" xfId="0" applyFont="1" applyFill="1" applyBorder="1" applyAlignment="1">
      <alignment horizontal="center" vertical="top" wrapText="1"/>
    </xf>
    <xf numFmtId="187" fontId="114" fillId="29" borderId="5" xfId="1" quotePrefix="1" applyNumberFormat="1" applyFont="1" applyFill="1" applyBorder="1" applyAlignment="1">
      <alignment horizontal="left" vertical="top" wrapText="1"/>
    </xf>
    <xf numFmtId="187" fontId="114" fillId="29" borderId="5" xfId="1" applyNumberFormat="1" applyFont="1" applyFill="1" applyBorder="1" applyAlignment="1">
      <alignment horizontal="center" vertical="top" wrapText="1"/>
    </xf>
    <xf numFmtId="0" fontId="114" fillId="29" borderId="5" xfId="0" applyFont="1" applyFill="1" applyBorder="1" applyAlignment="1">
      <alignment horizontal="left" vertical="top" wrapText="1"/>
    </xf>
    <xf numFmtId="3" fontId="114" fillId="29" borderId="5" xfId="0" applyNumberFormat="1" applyFont="1" applyFill="1" applyBorder="1" applyAlignment="1">
      <alignment horizontal="left" vertical="top" wrapText="1"/>
    </xf>
    <xf numFmtId="0" fontId="114" fillId="29" borderId="9" xfId="0" applyFont="1" applyFill="1" applyBorder="1" applyAlignment="1">
      <alignment horizontal="center" vertical="top" wrapText="1"/>
    </xf>
    <xf numFmtId="0" fontId="114" fillId="29" borderId="9" xfId="1" applyNumberFormat="1" applyFont="1" applyFill="1" applyBorder="1" applyAlignment="1">
      <alignment horizontal="center" vertical="top" wrapText="1"/>
    </xf>
    <xf numFmtId="2" fontId="114" fillId="29" borderId="9" xfId="0" applyNumberFormat="1" applyFont="1" applyFill="1" applyBorder="1" applyAlignment="1">
      <alignment wrapText="1"/>
    </xf>
    <xf numFmtId="0" fontId="114" fillId="29" borderId="9" xfId="0" applyFont="1" applyFill="1" applyBorder="1" applyAlignment="1">
      <alignment vertical="top" wrapText="1"/>
    </xf>
    <xf numFmtId="0" fontId="114" fillId="30" borderId="9" xfId="0" applyFont="1" applyFill="1" applyBorder="1" applyAlignment="1">
      <alignment horizontal="center" vertical="top" wrapText="1"/>
    </xf>
    <xf numFmtId="187" fontId="114" fillId="30" borderId="9" xfId="1" applyNumberFormat="1" applyFont="1" applyFill="1" applyBorder="1" applyAlignment="1">
      <alignment horizontal="left" vertical="top" wrapText="1"/>
    </xf>
    <xf numFmtId="187" fontId="114" fillId="30" borderId="9" xfId="1" applyNumberFormat="1" applyFont="1" applyFill="1" applyBorder="1" applyAlignment="1">
      <alignment horizontal="center" vertical="top" wrapText="1"/>
    </xf>
    <xf numFmtId="0" fontId="114" fillId="30" borderId="9" xfId="0" applyFont="1" applyFill="1" applyBorder="1" applyAlignment="1">
      <alignment wrapText="1"/>
    </xf>
    <xf numFmtId="187" fontId="114" fillId="30" borderId="9" xfId="1" quotePrefix="1" applyNumberFormat="1" applyFont="1" applyFill="1" applyBorder="1" applyAlignment="1">
      <alignment horizontal="left" vertical="top" wrapText="1"/>
    </xf>
    <xf numFmtId="0" fontId="114" fillId="31" borderId="9" xfId="0" applyFont="1" applyFill="1" applyBorder="1" applyAlignment="1">
      <alignment horizontal="center" vertical="top" wrapText="1"/>
    </xf>
    <xf numFmtId="187" fontId="114" fillId="31" borderId="9" xfId="1" quotePrefix="1" applyNumberFormat="1" applyFont="1" applyFill="1" applyBorder="1" applyAlignment="1">
      <alignment horizontal="left" vertical="top" wrapText="1"/>
    </xf>
    <xf numFmtId="187" fontId="114" fillId="31" borderId="9" xfId="1" applyNumberFormat="1" applyFont="1" applyFill="1" applyBorder="1" applyAlignment="1">
      <alignment horizontal="center" vertical="top" wrapText="1"/>
    </xf>
    <xf numFmtId="0" fontId="114" fillId="31" borderId="9" xfId="0" applyFont="1" applyFill="1" applyBorder="1" applyAlignment="1">
      <alignment horizontal="left" vertical="top" wrapText="1"/>
    </xf>
    <xf numFmtId="0" fontId="114" fillId="31" borderId="9" xfId="1" applyNumberFormat="1" applyFont="1" applyFill="1" applyBorder="1" applyAlignment="1">
      <alignment horizontal="center" vertical="top" wrapText="1"/>
    </xf>
    <xf numFmtId="2" fontId="114" fillId="31" borderId="9" xfId="0" applyNumberFormat="1" applyFont="1" applyFill="1" applyBorder="1" applyAlignment="1">
      <alignment wrapText="1"/>
    </xf>
    <xf numFmtId="0" fontId="114" fillId="31" borderId="9" xfId="0" applyFont="1" applyFill="1" applyBorder="1" applyAlignment="1">
      <alignment wrapText="1"/>
    </xf>
    <xf numFmtId="0" fontId="114" fillId="32" borderId="9" xfId="0" applyFont="1" applyFill="1" applyBorder="1" applyAlignment="1">
      <alignment horizontal="center" vertical="top" wrapText="1"/>
    </xf>
    <xf numFmtId="187" fontId="114" fillId="32" borderId="9" xfId="1" applyNumberFormat="1" applyFont="1" applyFill="1" applyBorder="1" applyAlignment="1">
      <alignment horizontal="left" vertical="top" wrapText="1"/>
    </xf>
    <xf numFmtId="187" fontId="114" fillId="32" borderId="9" xfId="1" applyNumberFormat="1" applyFont="1" applyFill="1" applyBorder="1" applyAlignment="1">
      <alignment horizontal="center" vertical="top" wrapText="1"/>
    </xf>
    <xf numFmtId="0" fontId="114" fillId="32" borderId="9" xfId="0" applyFont="1" applyFill="1" applyBorder="1" applyAlignment="1">
      <alignment horizontal="left" vertical="top" wrapText="1"/>
    </xf>
    <xf numFmtId="0" fontId="114" fillId="32" borderId="9" xfId="1" applyNumberFormat="1" applyFont="1" applyFill="1" applyBorder="1" applyAlignment="1">
      <alignment horizontal="center" vertical="top" wrapText="1"/>
    </xf>
    <xf numFmtId="2" fontId="114" fillId="32" borderId="9" xfId="0" applyNumberFormat="1" applyFont="1" applyFill="1" applyBorder="1" applyAlignment="1">
      <alignment wrapText="1"/>
    </xf>
    <xf numFmtId="3" fontId="114" fillId="32" borderId="9" xfId="0" applyNumberFormat="1" applyFont="1" applyFill="1" applyBorder="1" applyAlignment="1">
      <alignment horizontal="right" vertical="top" wrapText="1"/>
    </xf>
    <xf numFmtId="3" fontId="113" fillId="21" borderId="9" xfId="0" applyNumberFormat="1" applyFont="1" applyFill="1" applyBorder="1" applyAlignment="1">
      <alignment horizontal="right" vertical="top" wrapText="1"/>
    </xf>
    <xf numFmtId="187" fontId="113" fillId="21" borderId="9" xfId="1" quotePrefix="1" applyNumberFormat="1" applyFont="1" applyFill="1" applyBorder="1" applyAlignment="1">
      <alignment horizontal="left" vertical="top" wrapText="1"/>
    </xf>
    <xf numFmtId="0" fontId="114" fillId="33" borderId="9" xfId="0" applyFont="1" applyFill="1" applyBorder="1" applyAlignment="1">
      <alignment horizontal="center" vertical="top" wrapText="1"/>
    </xf>
    <xf numFmtId="187" fontId="114" fillId="33" borderId="9" xfId="1" applyNumberFormat="1" applyFont="1" applyFill="1" applyBorder="1" applyAlignment="1">
      <alignment horizontal="left" vertical="top" wrapText="1"/>
    </xf>
    <xf numFmtId="3" fontId="114" fillId="33" borderId="9" xfId="0" applyNumberFormat="1" applyFont="1" applyFill="1" applyBorder="1" applyAlignment="1">
      <alignment horizontal="right" vertical="top" wrapText="1"/>
    </xf>
    <xf numFmtId="0" fontId="114" fillId="33" borderId="9" xfId="0" applyFont="1" applyFill="1" applyBorder="1" applyAlignment="1">
      <alignment horizontal="left" vertical="top" wrapText="1"/>
    </xf>
    <xf numFmtId="0" fontId="114" fillId="33" borderId="9" xfId="1" applyNumberFormat="1" applyFont="1" applyFill="1" applyBorder="1" applyAlignment="1">
      <alignment horizontal="center" vertical="top" wrapText="1"/>
    </xf>
    <xf numFmtId="2" fontId="114" fillId="33" borderId="9" xfId="0" applyNumberFormat="1" applyFont="1" applyFill="1" applyBorder="1" applyAlignment="1">
      <alignment wrapText="1"/>
    </xf>
    <xf numFmtId="3" fontId="5" fillId="0" borderId="0" xfId="0" applyNumberFormat="1" applyFont="1" applyAlignment="1">
      <alignment horizontal="center" vertical="center"/>
    </xf>
    <xf numFmtId="3" fontId="113" fillId="21" borderId="4" xfId="0" applyNumberFormat="1" applyFont="1" applyFill="1" applyBorder="1" applyAlignment="1">
      <alignment horizontal="right" vertical="top" wrapText="1"/>
    </xf>
    <xf numFmtId="3" fontId="114" fillId="17" borderId="10" xfId="1" applyNumberFormat="1" applyFont="1" applyFill="1" applyBorder="1" applyAlignment="1">
      <alignment horizontal="right" vertical="top" wrapText="1"/>
    </xf>
    <xf numFmtId="3" fontId="113" fillId="21" borderId="9" xfId="1" applyNumberFormat="1" applyFont="1" applyFill="1" applyBorder="1" applyAlignment="1">
      <alignment horizontal="right" vertical="top" wrapText="1"/>
    </xf>
    <xf numFmtId="3" fontId="114" fillId="29" borderId="5" xfId="1" applyNumberFormat="1" applyFont="1" applyFill="1" applyBorder="1" applyAlignment="1">
      <alignment horizontal="right" vertical="top" wrapText="1"/>
    </xf>
    <xf numFmtId="3" fontId="114" fillId="31" borderId="9" xfId="1" applyNumberFormat="1" applyFont="1" applyFill="1" applyBorder="1" applyAlignment="1">
      <alignment horizontal="right" vertical="top" wrapText="1"/>
    </xf>
    <xf numFmtId="3" fontId="114" fillId="32" borderId="9" xfId="1" applyNumberFormat="1" applyFont="1" applyFill="1" applyBorder="1" applyAlignment="1">
      <alignment horizontal="right" vertical="top" wrapText="1"/>
    </xf>
    <xf numFmtId="3" fontId="114" fillId="33" borderId="9" xfId="1" applyNumberFormat="1" applyFont="1" applyFill="1" applyBorder="1" applyAlignment="1">
      <alignment horizontal="right" vertical="top" wrapText="1"/>
    </xf>
    <xf numFmtId="3" fontId="5" fillId="3" borderId="2" xfId="0" applyNumberFormat="1" applyFont="1" applyFill="1" applyBorder="1" applyAlignment="1">
      <alignment vertical="center" wrapText="1"/>
    </xf>
    <xf numFmtId="3" fontId="4" fillId="0" borderId="0" xfId="0" applyNumberFormat="1" applyFont="1" applyAlignment="1">
      <alignment vertical="top"/>
    </xf>
    <xf numFmtId="3" fontId="5" fillId="0" borderId="2" xfId="0" applyNumberFormat="1" applyFont="1" applyBorder="1" applyAlignment="1">
      <alignment horizontal="center" vertical="top"/>
    </xf>
    <xf numFmtId="3" fontId="20" fillId="0" borderId="0" xfId="0" applyNumberFormat="1" applyFont="1"/>
    <xf numFmtId="0" fontId="116" fillId="0" borderId="0" xfId="0" applyFont="1" applyFill="1" applyAlignment="1">
      <alignment horizontal="center" vertical="center"/>
    </xf>
    <xf numFmtId="0" fontId="3" fillId="0" borderId="0" xfId="0" applyFont="1" applyFill="1"/>
    <xf numFmtId="4" fontId="117" fillId="0" borderId="0" xfId="0" applyNumberFormat="1" applyFont="1" applyFill="1"/>
    <xf numFmtId="43" fontId="118" fillId="0" borderId="0" xfId="1" applyFont="1" applyFill="1"/>
    <xf numFmtId="0" fontId="119" fillId="0" borderId="0" xfId="0" applyFont="1" applyFill="1"/>
    <xf numFmtId="43" fontId="119" fillId="0" borderId="0" xfId="1" applyFont="1" applyFill="1"/>
    <xf numFmtId="43" fontId="119" fillId="0" borderId="0" xfId="1" applyFont="1" applyFill="1" applyAlignment="1">
      <alignment vertical="top"/>
    </xf>
    <xf numFmtId="0" fontId="5" fillId="0" borderId="0" xfId="0" applyFont="1" applyFill="1" applyAlignment="1">
      <alignment horizontal="center" vertical="center"/>
    </xf>
    <xf numFmtId="4" fontId="120" fillId="0" borderId="0" xfId="0" applyNumberFormat="1" applyFont="1" applyFill="1" applyAlignment="1">
      <alignment horizontal="center" vertical="center"/>
    </xf>
    <xf numFmtId="4" fontId="4" fillId="0" borderId="0" xfId="0" applyNumberFormat="1" applyFont="1" applyFill="1" applyAlignment="1">
      <alignment horizontal="center" vertical="center"/>
    </xf>
    <xf numFmtId="4" fontId="5" fillId="0" borderId="0" xfId="0" applyNumberFormat="1" applyFont="1" applyFill="1" applyAlignment="1">
      <alignment horizontal="center" vertical="center"/>
    </xf>
    <xf numFmtId="43" fontId="122" fillId="0" borderId="0" xfId="1" applyFont="1" applyFill="1" applyAlignment="1">
      <alignment horizontal="center" vertical="center"/>
    </xf>
    <xf numFmtId="4" fontId="116" fillId="0" borderId="0" xfId="0" applyNumberFormat="1" applyFont="1" applyFill="1" applyAlignment="1">
      <alignment horizontal="center" vertical="center"/>
    </xf>
    <xf numFmtId="4" fontId="123" fillId="0" borderId="0" xfId="0" applyNumberFormat="1" applyFont="1" applyFill="1" applyAlignment="1">
      <alignment horizontal="center" vertical="center"/>
    </xf>
    <xf numFmtId="4" fontId="121" fillId="0" borderId="0" xfId="0" applyNumberFormat="1" applyFont="1" applyFill="1" applyAlignment="1">
      <alignment horizontal="center" vertical="center"/>
    </xf>
    <xf numFmtId="2" fontId="121" fillId="0" borderId="0" xfId="0" applyNumberFormat="1" applyFont="1" applyFill="1" applyAlignment="1">
      <alignment horizontal="center" vertical="center"/>
    </xf>
    <xf numFmtId="2" fontId="123" fillId="0" borderId="0" xfId="0" applyNumberFormat="1" applyFont="1" applyFill="1" applyAlignment="1">
      <alignment horizontal="center" vertical="center"/>
    </xf>
    <xf numFmtId="4" fontId="8" fillId="0" borderId="0" xfId="0" applyNumberFormat="1" applyFont="1" applyFill="1" applyAlignment="1">
      <alignment horizontal="center" vertical="center"/>
    </xf>
    <xf numFmtId="0" fontId="124" fillId="0" borderId="0" xfId="0" applyFont="1" applyFill="1"/>
    <xf numFmtId="0" fontId="91" fillId="0" borderId="2" xfId="0" applyFont="1" applyFill="1" applyBorder="1" applyAlignment="1">
      <alignment horizontal="center" vertical="center"/>
    </xf>
    <xf numFmtId="3" fontId="91" fillId="0" borderId="9" xfId="0" applyNumberFormat="1" applyFont="1" applyFill="1" applyBorder="1" applyAlignment="1">
      <alignment horizontal="center" vertical="top" wrapText="1"/>
    </xf>
    <xf numFmtId="4" fontId="3" fillId="0" borderId="0" xfId="0" applyNumberFormat="1" applyFont="1" applyFill="1"/>
    <xf numFmtId="4" fontId="10" fillId="0" borderId="0" xfId="0" applyNumberFormat="1" applyFont="1" applyFill="1" applyAlignment="1">
      <alignment vertical="center"/>
    </xf>
    <xf numFmtId="43" fontId="117" fillId="0" borderId="0" xfId="0" applyNumberFormat="1" applyFont="1" applyFill="1"/>
    <xf numFmtId="4" fontId="125" fillId="0" borderId="9" xfId="0" applyNumberFormat="1" applyFont="1" applyFill="1" applyBorder="1" applyAlignment="1">
      <alignment horizontal="center" vertical="top" wrapText="1"/>
    </xf>
    <xf numFmtId="4" fontId="125" fillId="0" borderId="1" xfId="0" applyNumberFormat="1" applyFont="1" applyFill="1" applyBorder="1" applyAlignment="1">
      <alignment horizontal="center" vertical="top" wrapText="1"/>
    </xf>
    <xf numFmtId="43" fontId="117" fillId="0" borderId="0" xfId="1" applyFont="1" applyFill="1"/>
    <xf numFmtId="43" fontId="124" fillId="0" borderId="0" xfId="1" applyFont="1" applyFill="1" applyAlignment="1">
      <alignment horizontal="center"/>
    </xf>
    <xf numFmtId="43" fontId="135" fillId="0" borderId="0" xfId="1" applyFont="1" applyFill="1"/>
    <xf numFmtId="43" fontId="136" fillId="0" borderId="0" xfId="0" applyNumberFormat="1" applyFont="1" applyFill="1"/>
    <xf numFmtId="43" fontId="121" fillId="0" borderId="0" xfId="0" applyNumberFormat="1" applyFont="1" applyFill="1"/>
    <xf numFmtId="43" fontId="131" fillId="0" borderId="0" xfId="0" applyNumberFormat="1" applyFont="1" applyFill="1"/>
    <xf numFmtId="43" fontId="137" fillId="0" borderId="0" xfId="0" applyNumberFormat="1" applyFont="1" applyFill="1"/>
    <xf numFmtId="43" fontId="124" fillId="0" borderId="0" xfId="0" applyNumberFormat="1" applyFont="1" applyFill="1"/>
    <xf numFmtId="43" fontId="136" fillId="0" borderId="0" xfId="1" applyFont="1" applyFill="1"/>
    <xf numFmtId="43" fontId="129" fillId="0" borderId="0" xfId="0" applyNumberFormat="1" applyFont="1" applyFill="1"/>
    <xf numFmtId="43" fontId="118" fillId="0" borderId="0" xfId="0" applyNumberFormat="1" applyFont="1" applyFill="1"/>
    <xf numFmtId="43" fontId="132" fillId="0" borderId="0" xfId="0" applyNumberFormat="1" applyFont="1" applyFill="1"/>
    <xf numFmtId="43" fontId="138" fillId="0" borderId="0" xfId="0" applyNumberFormat="1" applyFont="1" applyFill="1"/>
    <xf numFmtId="43" fontId="127" fillId="0" borderId="0" xfId="1" applyFont="1" applyFill="1"/>
    <xf numFmtId="0" fontId="126" fillId="0" borderId="0" xfId="0" applyFont="1" applyFill="1"/>
    <xf numFmtId="0" fontId="129" fillId="0" borderId="0" xfId="0" applyFont="1" applyFill="1"/>
    <xf numFmtId="43" fontId="126" fillId="0" borderId="0" xfId="1" applyFont="1" applyFill="1" applyAlignment="1">
      <alignment vertical="top"/>
    </xf>
    <xf numFmtId="0" fontId="91" fillId="0" borderId="9" xfId="0" applyFont="1" applyFill="1" applyBorder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top" wrapText="1"/>
    </xf>
    <xf numFmtId="4" fontId="4" fillId="0" borderId="9" xfId="0" applyNumberFormat="1" applyFont="1" applyFill="1" applyBorder="1" applyAlignment="1">
      <alignment horizontal="left" vertical="top" wrapText="1"/>
    </xf>
    <xf numFmtId="4" fontId="9" fillId="0" borderId="0" xfId="0" applyNumberFormat="1" applyFont="1" applyFill="1"/>
    <xf numFmtId="4" fontId="124" fillId="0" borderId="0" xfId="0" applyNumberFormat="1" applyFont="1" applyFill="1"/>
    <xf numFmtId="0" fontId="9" fillId="0" borderId="0" xfId="0" applyFont="1" applyFill="1"/>
    <xf numFmtId="43" fontId="139" fillId="0" borderId="0" xfId="1" applyFont="1" applyFill="1"/>
    <xf numFmtId="43" fontId="9" fillId="0" borderId="0" xfId="1" applyFont="1" applyFill="1"/>
    <xf numFmtId="43" fontId="137" fillId="0" borderId="0" xfId="1" applyFont="1" applyFill="1"/>
    <xf numFmtId="43" fontId="9" fillId="0" borderId="0" xfId="0" applyNumberFormat="1" applyFont="1" applyFill="1"/>
    <xf numFmtId="43" fontId="124" fillId="0" borderId="0" xfId="1" applyFont="1" applyFill="1"/>
    <xf numFmtId="43" fontId="128" fillId="0" borderId="0" xfId="1" applyFont="1" applyFill="1"/>
    <xf numFmtId="43" fontId="140" fillId="0" borderId="0" xfId="1" applyFont="1" applyFill="1"/>
    <xf numFmtId="43" fontId="140" fillId="0" borderId="0" xfId="1" applyFont="1" applyFill="1" applyAlignment="1">
      <alignment vertical="top"/>
    </xf>
    <xf numFmtId="0" fontId="4" fillId="0" borderId="4" xfId="0" applyFont="1" applyFill="1" applyBorder="1" applyAlignment="1">
      <alignment horizontal="center" vertical="top" wrapText="1"/>
    </xf>
    <xf numFmtId="0" fontId="4" fillId="0" borderId="22" xfId="0" applyFont="1" applyFill="1" applyBorder="1" applyAlignment="1">
      <alignment horizontal="left" vertical="top" wrapText="1"/>
    </xf>
    <xf numFmtId="4" fontId="4" fillId="0" borderId="4" xfId="0" applyNumberFormat="1" applyFont="1" applyFill="1" applyBorder="1" applyAlignment="1">
      <alignment horizontal="right" vertical="top" wrapText="1"/>
    </xf>
    <xf numFmtId="4" fontId="4" fillId="0" borderId="3" xfId="0" applyNumberFormat="1" applyFont="1" applyFill="1" applyBorder="1" applyAlignment="1">
      <alignment horizontal="left" vertical="top" wrapText="1"/>
    </xf>
    <xf numFmtId="4" fontId="130" fillId="0" borderId="0" xfId="0" applyNumberFormat="1" applyFont="1" applyFill="1"/>
    <xf numFmtId="43" fontId="129" fillId="0" borderId="0" xfId="1" applyFont="1" applyFill="1"/>
    <xf numFmtId="0" fontId="88" fillId="0" borderId="5" xfId="0" applyFont="1" applyFill="1" applyBorder="1" applyAlignment="1">
      <alignment horizontal="center" vertical="top" wrapText="1"/>
    </xf>
    <xf numFmtId="0" fontId="88" fillId="0" borderId="20" xfId="0" applyFont="1" applyFill="1" applyBorder="1" applyAlignment="1">
      <alignment horizontal="left" vertical="top" wrapText="1"/>
    </xf>
    <xf numFmtId="4" fontId="88" fillId="0" borderId="5" xfId="1" applyNumberFormat="1" applyFont="1" applyFill="1" applyBorder="1" applyAlignment="1">
      <alignment horizontal="right" vertical="top" wrapText="1"/>
    </xf>
    <xf numFmtId="0" fontId="88" fillId="0" borderId="9" xfId="1" applyNumberFormat="1" applyFont="1" applyFill="1" applyBorder="1" applyAlignment="1">
      <alignment horizontal="left" vertical="top" wrapText="1"/>
    </xf>
    <xf numFmtId="4" fontId="88" fillId="0" borderId="1" xfId="1" applyNumberFormat="1" applyFont="1" applyFill="1" applyBorder="1" applyAlignment="1">
      <alignment horizontal="left" vertical="top" wrapText="1"/>
    </xf>
    <xf numFmtId="4" fontId="88" fillId="0" borderId="9" xfId="1" applyNumberFormat="1" applyFont="1" applyFill="1" applyBorder="1" applyAlignment="1">
      <alignment horizontal="left" vertical="top" wrapText="1"/>
    </xf>
    <xf numFmtId="0" fontId="14" fillId="0" borderId="0" xfId="0" applyFont="1" applyFill="1"/>
    <xf numFmtId="4" fontId="144" fillId="0" borderId="0" xfId="0" applyNumberFormat="1" applyFont="1" applyFill="1" applyAlignment="1">
      <alignment vertical="top"/>
    </xf>
    <xf numFmtId="0" fontId="14" fillId="0" borderId="0" xfId="0" applyFont="1" applyFill="1" applyAlignment="1">
      <alignment vertical="top"/>
    </xf>
    <xf numFmtId="43" fontId="142" fillId="0" borderId="0" xfId="1" applyFont="1" applyFill="1"/>
    <xf numFmtId="4" fontId="14" fillId="0" borderId="0" xfId="0" applyNumberFormat="1" applyFont="1" applyFill="1"/>
    <xf numFmtId="0" fontId="143" fillId="0" borderId="0" xfId="0" applyFont="1" applyFill="1"/>
    <xf numFmtId="43" fontId="145" fillId="0" borderId="0" xfId="1" applyFont="1" applyFill="1" applyAlignment="1">
      <alignment vertical="top"/>
    </xf>
    <xf numFmtId="43" fontId="143" fillId="0" borderId="0" xfId="1" applyFont="1" applyFill="1" applyAlignment="1">
      <alignment vertical="top"/>
    </xf>
    <xf numFmtId="0" fontId="91" fillId="0" borderId="5" xfId="0" applyFont="1" applyFill="1" applyBorder="1" applyAlignment="1">
      <alignment horizontal="center" vertical="top" wrapText="1"/>
    </xf>
    <xf numFmtId="0" fontId="91" fillId="0" borderId="5" xfId="0" applyFont="1" applyFill="1" applyBorder="1" applyAlignment="1">
      <alignment horizontal="left" vertical="top" wrapText="1"/>
    </xf>
    <xf numFmtId="0" fontId="91" fillId="0" borderId="20" xfId="0" applyFont="1" applyFill="1" applyBorder="1" applyAlignment="1">
      <alignment horizontal="left" vertical="top" wrapText="1"/>
    </xf>
    <xf numFmtId="4" fontId="91" fillId="0" borderId="5" xfId="1" applyNumberFormat="1" applyFont="1" applyFill="1" applyBorder="1" applyAlignment="1">
      <alignment horizontal="right" vertical="top" wrapText="1"/>
    </xf>
    <xf numFmtId="0" fontId="91" fillId="0" borderId="5" xfId="1" applyNumberFormat="1" applyFont="1" applyFill="1" applyBorder="1" applyAlignment="1">
      <alignment horizontal="left" vertical="top" wrapText="1"/>
    </xf>
    <xf numFmtId="0" fontId="91" fillId="0" borderId="9" xfId="1" applyNumberFormat="1" applyFont="1" applyFill="1" applyBorder="1" applyAlignment="1">
      <alignment horizontal="left" vertical="top" wrapText="1"/>
    </xf>
    <xf numFmtId="43" fontId="143" fillId="0" borderId="0" xfId="1" applyFont="1" applyFill="1"/>
    <xf numFmtId="0" fontId="143" fillId="0" borderId="9" xfId="1" applyNumberFormat="1" applyFont="1" applyFill="1" applyBorder="1" applyAlignment="1">
      <alignment horizontal="left" vertical="top" wrapText="1"/>
    </xf>
    <xf numFmtId="0" fontId="88" fillId="0" borderId="5" xfId="0" quotePrefix="1" applyFont="1" applyFill="1" applyBorder="1" applyAlignment="1">
      <alignment horizontal="left" vertical="top" wrapText="1"/>
    </xf>
    <xf numFmtId="0" fontId="88" fillId="0" borderId="0" xfId="0" applyFont="1" applyFill="1"/>
    <xf numFmtId="4" fontId="91" fillId="0" borderId="9" xfId="1" applyNumberFormat="1" applyFont="1" applyFill="1" applyBorder="1" applyAlignment="1">
      <alignment horizontal="left" vertical="top" wrapText="1"/>
    </xf>
    <xf numFmtId="4" fontId="88" fillId="0" borderId="2" xfId="1" applyNumberFormat="1" applyFont="1" applyFill="1" applyBorder="1" applyAlignment="1">
      <alignment horizontal="right" vertical="top" wrapText="1"/>
    </xf>
    <xf numFmtId="0" fontId="14" fillId="0" borderId="9" xfId="1" applyNumberFormat="1" applyFont="1" applyFill="1" applyBorder="1" applyAlignment="1">
      <alignment horizontal="left" vertical="top" wrapText="1"/>
    </xf>
    <xf numFmtId="0" fontId="88" fillId="0" borderId="0" xfId="0" applyFont="1" applyFill="1" applyAlignment="1">
      <alignment vertical="top" wrapText="1"/>
    </xf>
    <xf numFmtId="0" fontId="141" fillId="0" borderId="0" xfId="0" applyFont="1" applyFill="1" applyAlignment="1">
      <alignment vertical="top" wrapText="1"/>
    </xf>
    <xf numFmtId="43" fontId="14" fillId="0" borderId="0" xfId="1" applyFont="1" applyFill="1" applyAlignment="1">
      <alignment vertical="top" wrapText="1"/>
    </xf>
    <xf numFmtId="0" fontId="143" fillId="0" borderId="0" xfId="0" applyFont="1" applyFill="1" applyAlignment="1">
      <alignment vertical="top"/>
    </xf>
    <xf numFmtId="0" fontId="143" fillId="0" borderId="0" xfId="0" applyFont="1" applyFill="1" applyAlignment="1">
      <alignment vertical="top" wrapText="1"/>
    </xf>
    <xf numFmtId="0" fontId="147" fillId="0" borderId="9" xfId="1" applyNumberFormat="1" applyFont="1" applyFill="1" applyBorder="1" applyAlignment="1">
      <alignment horizontal="left" vertical="top" wrapText="1"/>
    </xf>
    <xf numFmtId="0" fontId="148" fillId="0" borderId="0" xfId="0" applyFont="1" applyFill="1" applyAlignment="1">
      <alignment vertical="top" wrapText="1"/>
    </xf>
    <xf numFmtId="4" fontId="88" fillId="0" borderId="10" xfId="1" applyNumberFormat="1" applyFont="1" applyFill="1" applyBorder="1" applyAlignment="1">
      <alignment horizontal="right" vertical="top" wrapText="1"/>
    </xf>
    <xf numFmtId="0" fontId="91" fillId="0" borderId="7" xfId="0" applyFont="1" applyFill="1" applyBorder="1" applyAlignment="1">
      <alignment horizontal="left" vertical="top" wrapText="1"/>
    </xf>
    <xf numFmtId="0" fontId="2" fillId="0" borderId="9" xfId="1" applyNumberFormat="1" applyFont="1" applyFill="1" applyBorder="1" applyAlignment="1">
      <alignment horizontal="left" vertical="top" wrapText="1"/>
    </xf>
    <xf numFmtId="0" fontId="88" fillId="0" borderId="22" xfId="0" applyFont="1" applyFill="1" applyBorder="1" applyAlignment="1">
      <alignment horizontal="left" vertical="top" wrapText="1"/>
    </xf>
    <xf numFmtId="0" fontId="147" fillId="0" borderId="0" xfId="0" applyFont="1" applyFill="1" applyAlignment="1">
      <alignment vertical="top" wrapText="1"/>
    </xf>
    <xf numFmtId="0" fontId="14" fillId="0" borderId="0" xfId="0" applyFont="1" applyFill="1" applyAlignment="1">
      <alignment wrapText="1"/>
    </xf>
    <xf numFmtId="0" fontId="88" fillId="0" borderId="5" xfId="0" applyFont="1" applyFill="1" applyBorder="1" applyAlignment="1">
      <alignment horizontal="left" vertical="top" wrapText="1"/>
    </xf>
    <xf numFmtId="0" fontId="88" fillId="0" borderId="0" xfId="0" applyFont="1" applyFill="1" applyAlignment="1">
      <alignment vertical="top"/>
    </xf>
    <xf numFmtId="43" fontId="140" fillId="0" borderId="0" xfId="1" applyFont="1" applyFill="1" applyAlignment="1">
      <alignment horizontal="center" vertical="top" wrapText="1"/>
    </xf>
    <xf numFmtId="0" fontId="88" fillId="0" borderId="27" xfId="0" applyFont="1" applyFill="1" applyBorder="1" applyAlignment="1">
      <alignment horizontal="left" vertical="top" wrapText="1"/>
    </xf>
    <xf numFmtId="4" fontId="88" fillId="0" borderId="6" xfId="1" applyNumberFormat="1" applyFont="1" applyFill="1" applyBorder="1" applyAlignment="1">
      <alignment horizontal="right" vertical="top" wrapText="1"/>
    </xf>
    <xf numFmtId="0" fontId="145" fillId="0" borderId="0" xfId="0" applyFont="1" applyFill="1"/>
    <xf numFmtId="0" fontId="143" fillId="0" borderId="0" xfId="0" applyFont="1" applyFill="1" applyAlignment="1">
      <alignment wrapText="1"/>
    </xf>
    <xf numFmtId="0" fontId="143" fillId="0" borderId="0" xfId="0" applyFont="1" applyFill="1" applyAlignment="1">
      <alignment horizontal="left" vertical="top" wrapText="1"/>
    </xf>
    <xf numFmtId="0" fontId="91" fillId="0" borderId="2" xfId="0" applyFont="1" applyFill="1" applyBorder="1" applyAlignment="1">
      <alignment horizontal="center" vertical="top" wrapText="1"/>
    </xf>
    <xf numFmtId="0" fontId="91" fillId="0" borderId="2" xfId="0" applyFont="1" applyFill="1" applyBorder="1" applyAlignment="1">
      <alignment horizontal="left" vertical="top" wrapText="1"/>
    </xf>
    <xf numFmtId="0" fontId="88" fillId="0" borderId="2" xfId="0" applyFont="1" applyFill="1" applyBorder="1" applyAlignment="1">
      <alignment horizontal="center" vertical="top" wrapText="1"/>
    </xf>
    <xf numFmtId="0" fontId="88" fillId="0" borderId="9" xfId="0" applyFont="1" applyFill="1" applyBorder="1" applyAlignment="1">
      <alignment horizontal="center" vertical="top" wrapText="1"/>
    </xf>
    <xf numFmtId="4" fontId="88" fillId="0" borderId="9" xfId="1" applyNumberFormat="1" applyFont="1" applyFill="1" applyBorder="1" applyAlignment="1">
      <alignment horizontal="right" vertical="top" wrapText="1"/>
    </xf>
    <xf numFmtId="0" fontId="91" fillId="0" borderId="2" xfId="0" applyFont="1" applyFill="1" applyBorder="1" applyAlignment="1">
      <alignment horizontal="center" vertical="top"/>
    </xf>
    <xf numFmtId="0" fontId="88" fillId="0" borderId="2" xfId="0" applyFont="1" applyFill="1" applyBorder="1" applyAlignment="1">
      <alignment vertical="top"/>
    </xf>
    <xf numFmtId="43" fontId="142" fillId="0" borderId="0" xfId="1" applyFont="1" applyFill="1" applyAlignment="1">
      <alignment vertical="top"/>
    </xf>
    <xf numFmtId="0" fontId="91" fillId="0" borderId="9" xfId="0" applyFont="1" applyFill="1" applyBorder="1" applyAlignment="1">
      <alignment horizontal="left" vertical="center" wrapText="1"/>
    </xf>
    <xf numFmtId="43" fontId="149" fillId="0" borderId="0" xfId="1" applyFont="1" applyFill="1"/>
    <xf numFmtId="4" fontId="88" fillId="0" borderId="0" xfId="0" applyNumberFormat="1" applyFont="1" applyFill="1"/>
    <xf numFmtId="43" fontId="88" fillId="0" borderId="0" xfId="1" applyFont="1" applyFill="1"/>
    <xf numFmtId="43" fontId="145" fillId="0" borderId="0" xfId="1" applyFont="1" applyFill="1"/>
    <xf numFmtId="43" fontId="88" fillId="0" borderId="0" xfId="0" applyNumberFormat="1" applyFont="1" applyFill="1"/>
    <xf numFmtId="43" fontId="142" fillId="0" borderId="0" xfId="0" applyNumberFormat="1" applyFont="1" applyFill="1"/>
    <xf numFmtId="43" fontId="144" fillId="0" borderId="0" xfId="0" applyNumberFormat="1" applyFont="1" applyFill="1"/>
    <xf numFmtId="43" fontId="134" fillId="0" borderId="0" xfId="1" applyFont="1" applyFill="1"/>
    <xf numFmtId="43" fontId="134" fillId="0" borderId="0" xfId="0" applyNumberFormat="1" applyFont="1" applyFill="1"/>
    <xf numFmtId="43" fontId="133" fillId="0" borderId="0" xfId="1" applyFont="1" applyFill="1"/>
    <xf numFmtId="43" fontId="16" fillId="0" borderId="0" xfId="1" applyFont="1" applyFill="1"/>
    <xf numFmtId="43" fontId="146" fillId="0" borderId="0" xfId="1" applyFont="1" applyFill="1" applyAlignment="1">
      <alignment vertical="top"/>
    </xf>
    <xf numFmtId="43" fontId="135" fillId="0" borderId="0" xfId="0" applyNumberFormat="1" applyFont="1" applyFill="1"/>
    <xf numFmtId="4" fontId="142" fillId="0" borderId="0" xfId="0" applyNumberFormat="1" applyFont="1" applyFill="1"/>
    <xf numFmtId="4" fontId="91" fillId="0" borderId="5" xfId="1" applyNumberFormat="1" applyFont="1" applyFill="1" applyBorder="1" applyAlignment="1">
      <alignment horizontal="left" vertical="top" wrapText="1"/>
    </xf>
    <xf numFmtId="0" fontId="91" fillId="0" borderId="0" xfId="0" applyFont="1" applyFill="1"/>
    <xf numFmtId="0" fontId="125" fillId="0" borderId="0" xfId="0" applyFont="1" applyFill="1"/>
    <xf numFmtId="43" fontId="125" fillId="0" borderId="0" xfId="1" applyFont="1" applyFill="1"/>
    <xf numFmtId="43" fontId="133" fillId="0" borderId="0" xfId="1" applyFont="1" applyFill="1" applyAlignment="1">
      <alignment vertical="top"/>
    </xf>
    <xf numFmtId="4" fontId="143" fillId="0" borderId="9" xfId="1" applyNumberFormat="1" applyFont="1" applyFill="1" applyBorder="1" applyAlignment="1">
      <alignment horizontal="center" vertical="top" wrapText="1"/>
    </xf>
    <xf numFmtId="4" fontId="88" fillId="0" borderId="4" xfId="1" applyNumberFormat="1" applyFont="1" applyFill="1" applyBorder="1" applyAlignment="1">
      <alignment horizontal="right" vertical="top" wrapText="1"/>
    </xf>
    <xf numFmtId="4" fontId="91" fillId="0" borderId="2" xfId="1" applyNumberFormat="1" applyFont="1" applyFill="1" applyBorder="1" applyAlignment="1">
      <alignment horizontal="right" vertical="top" wrapText="1"/>
    </xf>
    <xf numFmtId="4" fontId="144" fillId="0" borderId="0" xfId="0" applyNumberFormat="1" applyFont="1" applyFill="1"/>
    <xf numFmtId="0" fontId="88" fillId="0" borderId="5" xfId="1" applyNumberFormat="1" applyFont="1" applyFill="1" applyBorder="1" applyAlignment="1">
      <alignment horizontal="left" vertical="top" wrapText="1"/>
    </xf>
    <xf numFmtId="0" fontId="88" fillId="0" borderId="0" xfId="0" applyFont="1" applyFill="1" applyAlignment="1">
      <alignment wrapText="1"/>
    </xf>
    <xf numFmtId="0" fontId="141" fillId="0" borderId="0" xfId="0" applyFont="1" applyFill="1" applyAlignment="1">
      <alignment vertical="top"/>
    </xf>
    <xf numFmtId="43" fontId="144" fillId="0" borderId="0" xfId="1" applyFont="1" applyFill="1" applyAlignment="1">
      <alignment vertical="top"/>
    </xf>
    <xf numFmtId="43" fontId="19" fillId="0" borderId="0" xfId="1" applyFont="1" applyFill="1" applyAlignment="1">
      <alignment vertical="top"/>
    </xf>
    <xf numFmtId="43" fontId="91" fillId="0" borderId="5" xfId="1" applyFont="1" applyFill="1" applyBorder="1" applyAlignment="1">
      <alignment horizontal="left" vertical="top" wrapText="1"/>
    </xf>
    <xf numFmtId="43" fontId="150" fillId="0" borderId="0" xfId="0" applyNumberFormat="1" applyFont="1" applyFill="1"/>
    <xf numFmtId="0" fontId="88" fillId="0" borderId="13" xfId="0" applyFont="1" applyFill="1" applyBorder="1" applyAlignment="1">
      <alignment horizontal="left" vertical="top" wrapText="1"/>
    </xf>
    <xf numFmtId="0" fontId="91" fillId="0" borderId="9" xfId="0" applyFont="1" applyFill="1" applyBorder="1" applyAlignment="1">
      <alignment horizontal="center" vertical="top"/>
    </xf>
    <xf numFmtId="0" fontId="91" fillId="0" borderId="9" xfId="0" applyFont="1" applyFill="1" applyBorder="1" applyAlignment="1">
      <alignment horizontal="left" vertical="top" wrapText="1"/>
    </xf>
    <xf numFmtId="4" fontId="91" fillId="0" borderId="9" xfId="0" applyNumberFormat="1" applyFont="1" applyFill="1" applyBorder="1" applyAlignment="1">
      <alignment horizontal="right" vertical="top" wrapText="1"/>
    </xf>
    <xf numFmtId="43" fontId="91" fillId="0" borderId="0" xfId="1" applyFont="1" applyFill="1" applyAlignment="1">
      <alignment vertical="top"/>
    </xf>
    <xf numFmtId="43" fontId="91" fillId="0" borderId="0" xfId="0" applyNumberFormat="1" applyFont="1" applyFill="1" applyAlignment="1">
      <alignment vertical="top"/>
    </xf>
    <xf numFmtId="43" fontId="133" fillId="0" borderId="0" xfId="0" applyNumberFormat="1" applyFont="1" applyFill="1" applyAlignment="1">
      <alignment vertical="top"/>
    </xf>
    <xf numFmtId="43" fontId="134" fillId="0" borderId="0" xfId="0" applyNumberFormat="1" applyFont="1" applyFill="1" applyAlignment="1">
      <alignment vertical="top"/>
    </xf>
    <xf numFmtId="43" fontId="88" fillId="0" borderId="0" xfId="0" applyNumberFormat="1" applyFont="1" applyFill="1" applyAlignment="1">
      <alignment vertical="top"/>
    </xf>
    <xf numFmtId="43" fontId="143" fillId="0" borderId="0" xfId="0" applyNumberFormat="1" applyFont="1" applyFill="1" applyAlignment="1">
      <alignment vertical="top"/>
    </xf>
    <xf numFmtId="43" fontId="135" fillId="0" borderId="0" xfId="0" applyNumberFormat="1" applyFont="1" applyFill="1" applyAlignment="1">
      <alignment vertical="top"/>
    </xf>
    <xf numFmtId="43" fontId="144" fillId="0" borderId="0" xfId="0" applyNumberFormat="1" applyFont="1" applyFill="1" applyAlignment="1">
      <alignment vertical="top"/>
    </xf>
    <xf numFmtId="43" fontId="142" fillId="0" borderId="0" xfId="0" applyNumberFormat="1" applyFont="1" applyFill="1" applyAlignment="1">
      <alignment vertical="top"/>
    </xf>
    <xf numFmtId="43" fontId="134" fillId="0" borderId="0" xfId="1" applyFont="1" applyFill="1" applyAlignment="1">
      <alignment vertical="top"/>
    </xf>
    <xf numFmtId="43" fontId="141" fillId="0" borderId="0" xfId="0" applyNumberFormat="1" applyFont="1" applyFill="1" applyAlignment="1">
      <alignment vertical="top"/>
    </xf>
    <xf numFmtId="43" fontId="16" fillId="0" borderId="0" xfId="1" applyFont="1" applyFill="1" applyAlignment="1">
      <alignment vertical="top"/>
    </xf>
    <xf numFmtId="0" fontId="91" fillId="0" borderId="13" xfId="0" applyFont="1" applyFill="1" applyBorder="1" applyAlignment="1">
      <alignment horizontal="center" vertical="top" wrapText="1"/>
    </xf>
    <xf numFmtId="3" fontId="91" fillId="0" borderId="12" xfId="0" applyNumberFormat="1" applyFont="1" applyFill="1" applyBorder="1" applyAlignment="1">
      <alignment horizontal="center" vertical="top" wrapText="1"/>
    </xf>
    <xf numFmtId="43" fontId="91" fillId="0" borderId="9" xfId="1" applyFont="1" applyFill="1" applyBorder="1" applyAlignment="1">
      <alignment horizontal="center" vertical="top" wrapText="1"/>
    </xf>
    <xf numFmtId="43" fontId="141" fillId="0" borderId="0" xfId="0" applyNumberFormat="1" applyFont="1" applyFill="1"/>
    <xf numFmtId="43" fontId="151" fillId="0" borderId="0" xfId="1" applyFont="1" applyFill="1"/>
    <xf numFmtId="0" fontId="91" fillId="0" borderId="25" xfId="1" applyNumberFormat="1" applyFont="1" applyFill="1" applyBorder="1" applyAlignment="1">
      <alignment horizontal="center" vertical="top" wrapText="1"/>
    </xf>
    <xf numFmtId="0" fontId="91" fillId="0" borderId="5" xfId="1" applyNumberFormat="1" applyFont="1" applyFill="1" applyBorder="1" applyAlignment="1">
      <alignment horizontal="center" vertical="top" wrapText="1"/>
    </xf>
    <xf numFmtId="0" fontId="91" fillId="0" borderId="5" xfId="1" applyNumberFormat="1" applyFont="1" applyFill="1" applyBorder="1" applyAlignment="1">
      <alignment horizontal="right" vertical="top" wrapText="1"/>
    </xf>
    <xf numFmtId="43" fontId="91" fillId="0" borderId="5" xfId="1" applyFont="1" applyFill="1" applyBorder="1" applyAlignment="1">
      <alignment horizontal="right" vertical="top" wrapText="1"/>
    </xf>
    <xf numFmtId="43" fontId="141" fillId="0" borderId="0" xfId="1" applyFont="1" applyFill="1"/>
    <xf numFmtId="43" fontId="141" fillId="0" borderId="9" xfId="1" applyFont="1" applyFill="1" applyBorder="1" applyAlignment="1">
      <alignment horizontal="center" vertical="center" wrapText="1"/>
    </xf>
    <xf numFmtId="4" fontId="135" fillId="0" borderId="0" xfId="0" applyNumberFormat="1" applyFont="1" applyFill="1" applyAlignment="1">
      <alignment wrapText="1"/>
    </xf>
    <xf numFmtId="0" fontId="141" fillId="0" borderId="9" xfId="1" applyNumberFormat="1" applyFont="1" applyFill="1" applyBorder="1" applyAlignment="1">
      <alignment horizontal="center" vertical="center" wrapText="1"/>
    </xf>
    <xf numFmtId="4" fontId="141" fillId="0" borderId="9" xfId="1" applyNumberFormat="1" applyFont="1" applyFill="1" applyBorder="1" applyAlignment="1">
      <alignment horizontal="center" vertical="center" wrapText="1"/>
    </xf>
    <xf numFmtId="43" fontId="88" fillId="0" borderId="5" xfId="1" applyFont="1" applyFill="1" applyBorder="1" applyAlignment="1">
      <alignment horizontal="right" vertical="top" wrapText="1"/>
    </xf>
    <xf numFmtId="0" fontId="88" fillId="0" borderId="4" xfId="0" applyFont="1" applyFill="1" applyBorder="1" applyAlignment="1">
      <alignment horizontal="center" vertical="top" wrapText="1"/>
    </xf>
    <xf numFmtId="0" fontId="88" fillId="0" borderId="4" xfId="0" applyFont="1" applyFill="1" applyBorder="1" applyAlignment="1">
      <alignment horizontal="left" vertical="top" wrapText="1"/>
    </xf>
    <xf numFmtId="43" fontId="88" fillId="0" borderId="4" xfId="1" applyFont="1" applyFill="1" applyBorder="1" applyAlignment="1">
      <alignment horizontal="right" vertical="top" wrapText="1"/>
    </xf>
    <xf numFmtId="43" fontId="143" fillId="0" borderId="9" xfId="1" applyFont="1" applyFill="1" applyBorder="1" applyAlignment="1">
      <alignment horizontal="left" vertical="top" wrapText="1"/>
    </xf>
    <xf numFmtId="4" fontId="88" fillId="0" borderId="0" xfId="0" applyNumberFormat="1" applyFont="1" applyFill="1" applyAlignment="1">
      <alignment vertical="top"/>
    </xf>
    <xf numFmtId="4" fontId="16" fillId="0" borderId="0" xfId="0" applyNumberFormat="1" applyFont="1" applyFill="1" applyAlignment="1">
      <alignment vertical="top"/>
    </xf>
    <xf numFmtId="4" fontId="91" fillId="0" borderId="0" xfId="0" applyNumberFormat="1" applyFont="1" applyFill="1" applyAlignment="1">
      <alignment vertical="top"/>
    </xf>
    <xf numFmtId="4" fontId="134" fillId="0" borderId="0" xfId="0" applyNumberFormat="1" applyFont="1" applyFill="1" applyAlignment="1">
      <alignment vertical="top"/>
    </xf>
    <xf numFmtId="43" fontId="88" fillId="0" borderId="0" xfId="1" applyFont="1" applyFill="1" applyAlignment="1">
      <alignment vertical="top"/>
    </xf>
    <xf numFmtId="43" fontId="141" fillId="0" borderId="0" xfId="1" applyFont="1" applyFill="1" applyAlignment="1">
      <alignment vertical="top"/>
    </xf>
    <xf numFmtId="43" fontId="137" fillId="0" borderId="0" xfId="1" applyFont="1" applyFill="1" applyAlignment="1">
      <alignment vertical="top"/>
    </xf>
    <xf numFmtId="43" fontId="141" fillId="0" borderId="0" xfId="1" applyFont="1" applyFill="1" applyAlignment="1">
      <alignment vertical="center"/>
    </xf>
    <xf numFmtId="0" fontId="14" fillId="0" borderId="0" xfId="0" applyFont="1" applyFill="1" applyAlignment="1">
      <alignment vertical="top" wrapText="1"/>
    </xf>
    <xf numFmtId="3" fontId="141" fillId="0" borderId="0" xfId="0" applyNumberFormat="1" applyFont="1" applyFill="1" applyAlignment="1">
      <alignment vertical="top" wrapText="1"/>
    </xf>
    <xf numFmtId="43" fontId="141" fillId="0" borderId="0" xfId="1" applyFont="1" applyFill="1" applyAlignment="1">
      <alignment vertical="top" wrapText="1"/>
    </xf>
    <xf numFmtId="0" fontId="149" fillId="0" borderId="0" xfId="0" applyFont="1" applyFill="1"/>
    <xf numFmtId="43" fontId="152" fillId="0" borderId="0" xfId="1" applyFont="1" applyFill="1" applyAlignment="1">
      <alignment wrapText="1"/>
    </xf>
    <xf numFmtId="0" fontId="88" fillId="0" borderId="23" xfId="0" applyFont="1" applyFill="1" applyBorder="1" applyAlignment="1">
      <alignment horizontal="left" vertical="top" wrapText="1"/>
    </xf>
    <xf numFmtId="0" fontId="88" fillId="0" borderId="3" xfId="1" applyNumberFormat="1" applyFont="1" applyFill="1" applyBorder="1" applyAlignment="1">
      <alignment horizontal="left" vertical="top" wrapText="1"/>
    </xf>
    <xf numFmtId="0" fontId="91" fillId="0" borderId="11" xfId="0" applyFont="1" applyFill="1" applyBorder="1" applyAlignment="1">
      <alignment vertical="top"/>
    </xf>
    <xf numFmtId="0" fontId="4" fillId="0" borderId="2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5" fontId="9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39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15" fontId="4" fillId="0" borderId="0" xfId="0" applyNumberFormat="1" applyFont="1" applyFill="1" applyAlignment="1">
      <alignment horizontal="center" vertical="center"/>
    </xf>
    <xf numFmtId="43" fontId="10" fillId="0" borderId="8" xfId="1" applyFont="1" applyFill="1" applyBorder="1" applyAlignment="1">
      <alignment vertical="center" wrapText="1"/>
    </xf>
    <xf numFmtId="43" fontId="91" fillId="0" borderId="1" xfId="1" applyFont="1" applyFill="1" applyBorder="1" applyAlignment="1">
      <alignment horizontal="center" vertical="center" wrapText="1"/>
    </xf>
    <xf numFmtId="3" fontId="91" fillId="0" borderId="1" xfId="0" applyNumberFormat="1" applyFont="1" applyFill="1" applyBorder="1" applyAlignment="1">
      <alignment horizontal="center" vertical="center" wrapText="1"/>
    </xf>
    <xf numFmtId="3" fontId="91" fillId="0" borderId="15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43" fontId="9" fillId="0" borderId="0" xfId="1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41" fillId="0" borderId="0" xfId="0" applyFont="1" applyAlignment="1">
      <alignment vertical="center"/>
    </xf>
    <xf numFmtId="3" fontId="91" fillId="0" borderId="2" xfId="0" applyNumberFormat="1" applyFont="1" applyFill="1" applyBorder="1" applyAlignment="1">
      <alignment horizontal="center" vertical="center" wrapText="1"/>
    </xf>
    <xf numFmtId="43" fontId="91" fillId="0" borderId="2" xfId="1" applyFont="1" applyFill="1" applyBorder="1" applyAlignment="1">
      <alignment horizontal="center" vertical="center" wrapText="1"/>
    </xf>
    <xf numFmtId="43" fontId="91" fillId="0" borderId="2" xfId="1" applyFont="1" applyFill="1" applyBorder="1" applyAlignment="1">
      <alignment vertical="center" wrapText="1"/>
    </xf>
    <xf numFmtId="3" fontId="91" fillId="0" borderId="9" xfId="0" applyNumberFormat="1" applyFont="1" applyFill="1" applyBorder="1" applyAlignment="1">
      <alignment horizontal="center" vertical="center" wrapText="1"/>
    </xf>
    <xf numFmtId="3" fontId="91" fillId="0" borderId="13" xfId="0" applyNumberFormat="1" applyFont="1" applyFill="1" applyBorder="1" applyAlignment="1">
      <alignment horizontal="center" vertical="center" wrapText="1"/>
    </xf>
    <xf numFmtId="4" fontId="9" fillId="0" borderId="0" xfId="0" applyNumberFormat="1" applyFont="1" applyFill="1" applyAlignment="1">
      <alignment vertical="center"/>
    </xf>
    <xf numFmtId="43" fontId="9" fillId="0" borderId="0" xfId="0" applyNumberFormat="1" applyFont="1" applyFill="1" applyAlignment="1">
      <alignment vertical="center"/>
    </xf>
    <xf numFmtId="0" fontId="139" fillId="0" borderId="0" xfId="0" applyFont="1" applyFill="1" applyAlignment="1">
      <alignment vertical="center"/>
    </xf>
    <xf numFmtId="43" fontId="153" fillId="0" borderId="0" xfId="1" applyFont="1" applyFill="1" applyAlignment="1">
      <alignment horizontal="center" vertical="center"/>
    </xf>
    <xf numFmtId="3" fontId="91" fillId="0" borderId="3" xfId="0" applyNumberFormat="1" applyFont="1" applyFill="1" applyBorder="1" applyAlignment="1">
      <alignment horizontal="center" vertical="center" wrapText="1"/>
    </xf>
    <xf numFmtId="3" fontId="91" fillId="0" borderId="14" xfId="0" applyNumberFormat="1" applyFont="1" applyFill="1" applyBorder="1" applyAlignment="1">
      <alignment horizontal="center" vertical="center" wrapText="1"/>
    </xf>
    <xf numFmtId="4" fontId="91" fillId="0" borderId="9" xfId="0" applyNumberFormat="1" applyFont="1" applyFill="1" applyBorder="1" applyAlignment="1">
      <alignment horizontal="center" vertical="center" wrapText="1"/>
    </xf>
    <xf numFmtId="4" fontId="91" fillId="0" borderId="9" xfId="0" applyNumberFormat="1" applyFont="1" applyFill="1" applyBorder="1" applyAlignment="1">
      <alignment horizontal="center" vertical="top" wrapText="1"/>
    </xf>
    <xf numFmtId="4" fontId="91" fillId="0" borderId="13" xfId="0" applyNumberFormat="1" applyFont="1" applyFill="1" applyBorder="1" applyAlignment="1">
      <alignment horizontal="center" vertical="top" wrapText="1"/>
    </xf>
    <xf numFmtId="4" fontId="91" fillId="0" borderId="2" xfId="0" applyNumberFormat="1" applyFont="1" applyFill="1" applyBorder="1" applyAlignment="1">
      <alignment horizontal="center" vertical="top" wrapText="1"/>
    </xf>
    <xf numFmtId="4" fontId="91" fillId="0" borderId="12" xfId="0" applyNumberFormat="1" applyFont="1" applyFill="1" applyBorder="1" applyAlignment="1">
      <alignment horizontal="center" vertical="top" wrapText="1"/>
    </xf>
    <xf numFmtId="4" fontId="10" fillId="0" borderId="9" xfId="0" applyNumberFormat="1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left" vertical="top" wrapText="1"/>
    </xf>
    <xf numFmtId="4" fontId="4" fillId="0" borderId="2" xfId="0" applyNumberFormat="1" applyFont="1" applyFill="1" applyBorder="1" applyAlignment="1">
      <alignment horizontal="right" vertical="top" wrapText="1"/>
    </xf>
    <xf numFmtId="0" fontId="4" fillId="0" borderId="24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right" vertical="top" wrapText="1"/>
    </xf>
    <xf numFmtId="43" fontId="4" fillId="0" borderId="4" xfId="1" applyFont="1" applyFill="1" applyBorder="1" applyAlignment="1">
      <alignment horizontal="right" vertical="top" wrapText="1"/>
    </xf>
    <xf numFmtId="4" fontId="4" fillId="0" borderId="4" xfId="0" applyNumberFormat="1" applyFont="1" applyFill="1" applyBorder="1" applyAlignment="1">
      <alignment horizontal="left" vertical="top" wrapText="1"/>
    </xf>
    <xf numFmtId="0" fontId="88" fillId="0" borderId="25" xfId="1" applyNumberFormat="1" applyFont="1" applyFill="1" applyBorder="1" applyAlignment="1">
      <alignment horizontal="center" vertical="top" wrapText="1"/>
    </xf>
    <xf numFmtId="0" fontId="88" fillId="0" borderId="5" xfId="1" applyNumberFormat="1" applyFont="1" applyFill="1" applyBorder="1" applyAlignment="1">
      <alignment horizontal="center" vertical="top" wrapText="1"/>
    </xf>
    <xf numFmtId="0" fontId="88" fillId="0" borderId="5" xfId="1" applyNumberFormat="1" applyFont="1" applyFill="1" applyBorder="1" applyAlignment="1">
      <alignment horizontal="right" vertical="top" wrapText="1"/>
    </xf>
    <xf numFmtId="4" fontId="88" fillId="0" borderId="5" xfId="1" applyNumberFormat="1" applyFont="1" applyFill="1" applyBorder="1" applyAlignment="1">
      <alignment horizontal="left" vertical="top" wrapText="1"/>
    </xf>
    <xf numFmtId="0" fontId="9" fillId="0" borderId="5" xfId="1" applyNumberFormat="1" applyFont="1" applyFill="1" applyBorder="1" applyAlignment="1">
      <alignment horizontal="left" vertical="top" wrapText="1"/>
    </xf>
    <xf numFmtId="0" fontId="88" fillId="0" borderId="6" xfId="0" applyFont="1" applyFill="1" applyBorder="1" applyAlignment="1">
      <alignment horizontal="center" vertical="top" wrapText="1"/>
    </xf>
    <xf numFmtId="0" fontId="88" fillId="0" borderId="6" xfId="0" quotePrefix="1" applyFont="1" applyFill="1" applyBorder="1" applyAlignment="1">
      <alignment horizontal="left" vertical="top" wrapText="1"/>
    </xf>
    <xf numFmtId="0" fontId="91" fillId="0" borderId="23" xfId="0" applyFont="1" applyFill="1" applyBorder="1" applyAlignment="1">
      <alignment horizontal="left" vertical="top" wrapText="1"/>
    </xf>
    <xf numFmtId="0" fontId="88" fillId="0" borderId="26" xfId="1" applyNumberFormat="1" applyFont="1" applyFill="1" applyBorder="1" applyAlignment="1">
      <alignment horizontal="center" vertical="top" wrapText="1"/>
    </xf>
    <xf numFmtId="0" fontId="88" fillId="0" borderId="6" xfId="1" applyNumberFormat="1" applyFont="1" applyFill="1" applyBorder="1" applyAlignment="1">
      <alignment horizontal="center" vertical="top" wrapText="1"/>
    </xf>
    <xf numFmtId="0" fontId="88" fillId="0" borderId="6" xfId="1" applyNumberFormat="1" applyFont="1" applyFill="1" applyBorder="1" applyAlignment="1">
      <alignment horizontal="right" vertical="top" wrapText="1"/>
    </xf>
    <xf numFmtId="43" fontId="88" fillId="0" borderId="6" xfId="1" applyFont="1" applyFill="1" applyBorder="1" applyAlignment="1">
      <alignment horizontal="right" vertical="top" wrapText="1"/>
    </xf>
    <xf numFmtId="0" fontId="88" fillId="0" borderId="6" xfId="0" applyFont="1" applyFill="1" applyBorder="1" applyAlignment="1">
      <alignment horizontal="left" vertical="top" wrapText="1"/>
    </xf>
    <xf numFmtId="0" fontId="88" fillId="0" borderId="6" xfId="1" applyNumberFormat="1" applyFont="1" applyFill="1" applyBorder="1" applyAlignment="1">
      <alignment horizontal="left" vertical="top" wrapText="1"/>
    </xf>
    <xf numFmtId="0" fontId="88" fillId="0" borderId="10" xfId="0" applyFont="1" applyFill="1" applyBorder="1" applyAlignment="1">
      <alignment horizontal="center" vertical="top" wrapText="1"/>
    </xf>
    <xf numFmtId="0" fontId="88" fillId="0" borderId="10" xfId="0" applyFont="1" applyFill="1" applyBorder="1" applyAlignment="1">
      <alignment horizontal="left" vertical="top" wrapText="1"/>
    </xf>
    <xf numFmtId="4" fontId="88" fillId="0" borderId="1" xfId="1" applyNumberFormat="1" applyFont="1" applyFill="1" applyBorder="1" applyAlignment="1">
      <alignment horizontal="right" vertical="top" wrapText="1"/>
    </xf>
    <xf numFmtId="0" fontId="88" fillId="0" borderId="2" xfId="0" applyFont="1" applyFill="1" applyBorder="1" applyAlignment="1">
      <alignment horizontal="left" vertical="top" wrapText="1"/>
    </xf>
    <xf numFmtId="4" fontId="88" fillId="0" borderId="3" xfId="1" applyNumberFormat="1" applyFont="1" applyFill="1" applyBorder="1" applyAlignment="1">
      <alignment horizontal="right" vertical="top" wrapText="1"/>
    </xf>
    <xf numFmtId="0" fontId="88" fillId="0" borderId="12" xfId="1" applyNumberFormat="1" applyFont="1" applyFill="1" applyBorder="1" applyAlignment="1">
      <alignment horizontal="center" vertical="top" wrapText="1"/>
    </xf>
    <xf numFmtId="0" fontId="88" fillId="0" borderId="9" xfId="1" applyNumberFormat="1" applyFont="1" applyFill="1" applyBorder="1" applyAlignment="1">
      <alignment horizontal="center" vertical="top" wrapText="1"/>
    </xf>
    <xf numFmtId="0" fontId="88" fillId="0" borderId="9" xfId="1" applyNumberFormat="1" applyFont="1" applyFill="1" applyBorder="1" applyAlignment="1">
      <alignment horizontal="right" vertical="top" wrapText="1"/>
    </xf>
    <xf numFmtId="43" fontId="88" fillId="0" borderId="9" xfId="1" applyFont="1" applyFill="1" applyBorder="1" applyAlignment="1">
      <alignment horizontal="right" vertical="top" wrapText="1"/>
    </xf>
    <xf numFmtId="0" fontId="88" fillId="0" borderId="2" xfId="0" applyFont="1" applyFill="1" applyBorder="1" applyAlignment="1">
      <alignment vertical="top" wrapText="1"/>
    </xf>
    <xf numFmtId="0" fontId="88" fillId="0" borderId="7" xfId="0" applyFont="1" applyFill="1" applyBorder="1" applyAlignment="1">
      <alignment vertical="top"/>
    </xf>
    <xf numFmtId="4" fontId="88" fillId="0" borderId="2" xfId="0" applyNumberFormat="1" applyFont="1" applyFill="1" applyBorder="1" applyAlignment="1">
      <alignment vertical="top"/>
    </xf>
    <xf numFmtId="0" fontId="88" fillId="0" borderId="8" xfId="0" applyFont="1" applyFill="1" applyBorder="1" applyAlignment="1">
      <alignment vertical="top"/>
    </xf>
    <xf numFmtId="0" fontId="88" fillId="0" borderId="2" xfId="0" applyFont="1" applyFill="1" applyBorder="1" applyAlignment="1">
      <alignment horizontal="center" vertical="top"/>
    </xf>
    <xf numFmtId="43" fontId="88" fillId="0" borderId="2" xfId="1" applyFont="1" applyFill="1" applyBorder="1" applyAlignment="1">
      <alignment vertical="top"/>
    </xf>
    <xf numFmtId="43" fontId="88" fillId="0" borderId="2" xfId="1" applyFont="1" applyFill="1" applyBorder="1" applyAlignment="1">
      <alignment horizontal="right" vertical="top" wrapText="1"/>
    </xf>
    <xf numFmtId="43" fontId="88" fillId="0" borderId="2" xfId="1" applyFont="1" applyFill="1" applyBorder="1" applyAlignment="1">
      <alignment horizontal="left" vertical="top"/>
    </xf>
    <xf numFmtId="43" fontId="88" fillId="0" borderId="2" xfId="0" applyNumberFormat="1" applyFont="1" applyFill="1" applyBorder="1" applyAlignment="1">
      <alignment vertical="top"/>
    </xf>
    <xf numFmtId="4" fontId="91" fillId="0" borderId="25" xfId="1" applyNumberFormat="1" applyFont="1" applyFill="1" applyBorder="1" applyAlignment="1">
      <alignment horizontal="right" vertical="top" wrapText="1"/>
    </xf>
    <xf numFmtId="4" fontId="10" fillId="0" borderId="5" xfId="1" applyNumberFormat="1" applyFont="1" applyFill="1" applyBorder="1" applyAlignment="1">
      <alignment horizontal="left" vertical="top" wrapText="1"/>
    </xf>
    <xf numFmtId="4" fontId="91" fillId="0" borderId="10" xfId="1" applyNumberFormat="1" applyFont="1" applyFill="1" applyBorder="1" applyAlignment="1">
      <alignment horizontal="right" vertical="top" wrapText="1"/>
    </xf>
    <xf numFmtId="4" fontId="88" fillId="0" borderId="20" xfId="1" applyNumberFormat="1" applyFont="1" applyFill="1" applyBorder="1" applyAlignment="1">
      <alignment horizontal="right" vertical="top" wrapText="1"/>
    </xf>
    <xf numFmtId="4" fontId="88" fillId="0" borderId="21" xfId="1" applyNumberFormat="1" applyFont="1" applyFill="1" applyBorder="1" applyAlignment="1">
      <alignment horizontal="right" vertical="top" wrapText="1"/>
    </xf>
    <xf numFmtId="4" fontId="139" fillId="0" borderId="10" xfId="1" applyNumberFormat="1" applyFont="1" applyFill="1" applyBorder="1" applyAlignment="1">
      <alignment vertical="top" wrapText="1"/>
    </xf>
    <xf numFmtId="4" fontId="88" fillId="0" borderId="12" xfId="1" applyNumberFormat="1" applyFont="1" applyFill="1" applyBorder="1" applyAlignment="1">
      <alignment horizontal="right" vertical="top" wrapText="1"/>
    </xf>
    <xf numFmtId="4" fontId="88" fillId="0" borderId="2" xfId="1" applyNumberFormat="1" applyFont="1" applyFill="1" applyBorder="1" applyAlignment="1">
      <alignment vertical="top" wrapText="1"/>
    </xf>
    <xf numFmtId="0" fontId="88" fillId="0" borderId="4" xfId="1" applyNumberFormat="1" applyFont="1" applyFill="1" applyBorder="1" applyAlignment="1">
      <alignment horizontal="left" vertical="top" wrapText="1"/>
    </xf>
    <xf numFmtId="0" fontId="88" fillId="0" borderId="9" xfId="0" applyFont="1" applyFill="1" applyBorder="1" applyAlignment="1">
      <alignment horizontal="left" vertical="top" wrapText="1"/>
    </xf>
    <xf numFmtId="4" fontId="91" fillId="0" borderId="2" xfId="0" applyNumberFormat="1" applyFont="1" applyFill="1" applyBorder="1" applyAlignment="1">
      <alignment horizontal="right" vertical="top" wrapText="1"/>
    </xf>
    <xf numFmtId="4" fontId="91" fillId="0" borderId="12" xfId="0" applyNumberFormat="1" applyFont="1" applyFill="1" applyBorder="1" applyAlignment="1">
      <alignment horizontal="right" vertical="top" wrapText="1"/>
    </xf>
    <xf numFmtId="4" fontId="91" fillId="0" borderId="5" xfId="1" applyNumberFormat="1" applyFont="1" applyFill="1" applyBorder="1" applyAlignment="1">
      <alignment horizontal="center" vertical="top" wrapText="1"/>
    </xf>
    <xf numFmtId="4" fontId="139" fillId="0" borderId="5" xfId="1" applyNumberFormat="1" applyFont="1" applyFill="1" applyBorder="1" applyAlignment="1">
      <alignment horizontal="right" vertical="top" wrapText="1"/>
    </xf>
    <xf numFmtId="0" fontId="88" fillId="0" borderId="10" xfId="1" applyNumberFormat="1" applyFont="1" applyFill="1" applyBorder="1" applyAlignment="1">
      <alignment vertical="top" wrapText="1"/>
    </xf>
    <xf numFmtId="0" fontId="88" fillId="0" borderId="24" xfId="1" applyNumberFormat="1" applyFont="1" applyFill="1" applyBorder="1" applyAlignment="1">
      <alignment horizontal="center" vertical="top" wrapText="1"/>
    </xf>
    <xf numFmtId="0" fontId="88" fillId="0" borderId="4" xfId="1" applyNumberFormat="1" applyFont="1" applyFill="1" applyBorder="1" applyAlignment="1">
      <alignment horizontal="center" vertical="top" wrapText="1"/>
    </xf>
    <xf numFmtId="0" fontId="88" fillId="0" borderId="4" xfId="1" applyNumberFormat="1" applyFont="1" applyFill="1" applyBorder="1" applyAlignment="1">
      <alignment horizontal="right" vertical="top" wrapText="1"/>
    </xf>
    <xf numFmtId="0" fontId="88" fillId="0" borderId="21" xfId="1" applyNumberFormat="1" applyFont="1" applyFill="1" applyBorder="1" applyAlignment="1">
      <alignment horizontal="center" vertical="top" wrapText="1"/>
    </xf>
    <xf numFmtId="0" fontId="88" fillId="0" borderId="10" xfId="1" applyNumberFormat="1" applyFont="1" applyFill="1" applyBorder="1" applyAlignment="1">
      <alignment horizontal="center" vertical="top" wrapText="1"/>
    </xf>
    <xf numFmtId="0" fontId="88" fillId="0" borderId="10" xfId="1" applyNumberFormat="1" applyFont="1" applyFill="1" applyBorder="1" applyAlignment="1">
      <alignment horizontal="right" vertical="top" wrapText="1"/>
    </xf>
    <xf numFmtId="43" fontId="88" fillId="0" borderId="10" xfId="1" applyFont="1" applyFill="1" applyBorder="1" applyAlignment="1">
      <alignment horizontal="right" vertical="top" wrapText="1"/>
    </xf>
    <xf numFmtId="0" fontId="88" fillId="0" borderId="10" xfId="1" applyNumberFormat="1" applyFont="1" applyFill="1" applyBorder="1" applyAlignment="1">
      <alignment horizontal="left" vertical="top" wrapText="1"/>
    </xf>
    <xf numFmtId="0" fontId="91" fillId="0" borderId="7" xfId="0" applyFont="1" applyFill="1" applyBorder="1" applyAlignment="1">
      <alignment horizontal="center" vertical="top"/>
    </xf>
    <xf numFmtId="0" fontId="91" fillId="0" borderId="11" xfId="0" applyFont="1" applyFill="1" applyBorder="1" applyAlignment="1">
      <alignment horizontal="center" vertical="top"/>
    </xf>
    <xf numFmtId="4" fontId="88" fillId="0" borderId="2" xfId="0" applyNumberFormat="1" applyFont="1" applyFill="1" applyBorder="1"/>
    <xf numFmtId="0" fontId="88" fillId="0" borderId="11" xfId="0" applyFont="1" applyFill="1" applyBorder="1"/>
    <xf numFmtId="0" fontId="88" fillId="0" borderId="11" xfId="0" applyFont="1" applyFill="1" applyBorder="1" applyAlignment="1">
      <alignment horizontal="center"/>
    </xf>
    <xf numFmtId="43" fontId="88" fillId="0" borderId="11" xfId="1" applyFont="1" applyFill="1" applyBorder="1"/>
    <xf numFmtId="0" fontId="88" fillId="0" borderId="8" xfId="0" applyFont="1" applyFill="1" applyBorder="1"/>
    <xf numFmtId="0" fontId="88" fillId="0" borderId="7" xfId="0" applyFont="1" applyFill="1" applyBorder="1" applyAlignment="1">
      <alignment vertical="top" wrapText="1"/>
    </xf>
    <xf numFmtId="0" fontId="88" fillId="0" borderId="2" xfId="1" applyNumberFormat="1" applyFont="1" applyFill="1" applyBorder="1" applyAlignment="1">
      <alignment vertical="top"/>
    </xf>
    <xf numFmtId="0" fontId="77" fillId="8" borderId="18" xfId="0" applyFont="1" applyFill="1" applyBorder="1" applyAlignment="1">
      <alignment horizontal="center" wrapText="1"/>
    </xf>
    <xf numFmtId="4" fontId="87" fillId="0" borderId="18" xfId="0" applyNumberFormat="1" applyFont="1" applyBorder="1" applyAlignment="1">
      <alignment horizontal="left"/>
    </xf>
    <xf numFmtId="0" fontId="23" fillId="0" borderId="0" xfId="0" applyFont="1" applyAlignment="1">
      <alignment horizontal="right"/>
    </xf>
    <xf numFmtId="4" fontId="39" fillId="0" borderId="7" xfId="0" applyNumberFormat="1" applyFont="1" applyBorder="1" applyAlignment="1">
      <alignment horizontal="center" vertical="top"/>
    </xf>
    <xf numFmtId="4" fontId="39" fillId="0" borderId="8" xfId="0" applyNumberFormat="1" applyFont="1" applyBorder="1" applyAlignment="1">
      <alignment horizontal="center" vertical="top"/>
    </xf>
    <xf numFmtId="3" fontId="39" fillId="0" borderId="7" xfId="0" applyNumberFormat="1" applyFont="1" applyBorder="1" applyAlignment="1">
      <alignment horizontal="center" vertical="top"/>
    </xf>
    <xf numFmtId="3" fontId="39" fillId="0" borderId="8" xfId="0" applyNumberFormat="1" applyFont="1" applyBorder="1" applyAlignment="1">
      <alignment horizontal="center" vertical="top"/>
    </xf>
    <xf numFmtId="4" fontId="37" fillId="12" borderId="18" xfId="0" applyNumberFormat="1" applyFont="1" applyFill="1" applyBorder="1" applyAlignment="1">
      <alignment horizontal="center" wrapText="1"/>
    </xf>
    <xf numFmtId="4" fontId="37" fillId="12" borderId="18" xfId="0" applyNumberFormat="1" applyFont="1" applyFill="1" applyBorder="1" applyAlignment="1">
      <alignment horizontal="center"/>
    </xf>
    <xf numFmtId="0" fontId="76" fillId="2" borderId="18" xfId="0" applyFont="1" applyFill="1" applyBorder="1" applyAlignment="1">
      <alignment horizontal="center" wrapText="1"/>
    </xf>
    <xf numFmtId="43" fontId="85" fillId="12" borderId="2" xfId="1" applyFont="1" applyFill="1" applyBorder="1" applyAlignment="1">
      <alignment horizontal="center" vertical="top" wrapText="1"/>
    </xf>
    <xf numFmtId="0" fontId="85" fillId="12" borderId="2" xfId="1" applyNumberFormat="1" applyFont="1" applyFill="1" applyBorder="1" applyAlignment="1">
      <alignment horizontal="center" vertical="top" wrapText="1"/>
    </xf>
    <xf numFmtId="0" fontId="57" fillId="0" borderId="2" xfId="0" applyFont="1" applyBorder="1" applyAlignment="1">
      <alignment horizontal="center" vertical="top"/>
    </xf>
    <xf numFmtId="0" fontId="57" fillId="0" borderId="1" xfId="0" applyFont="1" applyBorder="1" applyAlignment="1">
      <alignment horizontal="center" vertical="top"/>
    </xf>
    <xf numFmtId="0" fontId="57" fillId="0" borderId="3" xfId="0" applyFont="1" applyBorder="1" applyAlignment="1">
      <alignment horizontal="center" vertical="top"/>
    </xf>
    <xf numFmtId="0" fontId="57" fillId="0" borderId="7" xfId="0" applyFont="1" applyBorder="1" applyAlignment="1">
      <alignment horizontal="center" vertical="top"/>
    </xf>
    <xf numFmtId="0" fontId="57" fillId="0" borderId="8" xfId="0" applyFont="1" applyBorder="1" applyAlignment="1">
      <alignment horizontal="center" vertical="top"/>
    </xf>
    <xf numFmtId="0" fontId="57" fillId="0" borderId="11" xfId="0" applyFont="1" applyBorder="1" applyAlignment="1">
      <alignment horizontal="center" vertical="top"/>
    </xf>
    <xf numFmtId="3" fontId="35" fillId="18" borderId="1" xfId="0" applyNumberFormat="1" applyFont="1" applyFill="1" applyBorder="1" applyAlignment="1">
      <alignment horizontal="center" vertical="top" wrapText="1"/>
    </xf>
    <xf numFmtId="3" fontId="35" fillId="18" borderId="3" xfId="0" applyNumberFormat="1" applyFont="1" applyFill="1" applyBorder="1" applyAlignment="1">
      <alignment horizontal="center" vertical="top" wrapText="1"/>
    </xf>
    <xf numFmtId="3" fontId="33" fillId="7" borderId="2" xfId="0" applyNumberFormat="1" applyFont="1" applyFill="1" applyBorder="1" applyAlignment="1">
      <alignment horizontal="center" vertical="top" wrapText="1"/>
    </xf>
    <xf numFmtId="3" fontId="34" fillId="8" borderId="2" xfId="0" applyNumberFormat="1" applyFont="1" applyFill="1" applyBorder="1" applyAlignment="1">
      <alignment horizontal="center" vertical="top" wrapText="1"/>
    </xf>
    <xf numFmtId="3" fontId="33" fillId="8" borderId="2" xfId="0" applyNumberFormat="1" applyFont="1" applyFill="1" applyBorder="1" applyAlignment="1">
      <alignment horizontal="center" vertical="top" wrapText="1"/>
    </xf>
    <xf numFmtId="3" fontId="33" fillId="9" borderId="2" xfId="0" applyNumberFormat="1" applyFont="1" applyFill="1" applyBorder="1" applyAlignment="1">
      <alignment horizontal="center" vertical="top" wrapText="1"/>
    </xf>
    <xf numFmtId="4" fontId="33" fillId="2" borderId="2" xfId="0" applyNumberFormat="1" applyFont="1" applyFill="1" applyBorder="1" applyAlignment="1">
      <alignment horizontal="center" vertical="top" wrapText="1"/>
    </xf>
    <xf numFmtId="4" fontId="35" fillId="2" borderId="2" xfId="0" applyNumberFormat="1" applyFont="1" applyFill="1" applyBorder="1" applyAlignment="1">
      <alignment horizontal="center" vertical="top" wrapText="1"/>
    </xf>
    <xf numFmtId="3" fontId="33" fillId="21" borderId="2" xfId="0" applyNumberFormat="1" applyFont="1" applyFill="1" applyBorder="1" applyAlignment="1">
      <alignment horizontal="center" vertical="top" wrapText="1"/>
    </xf>
    <xf numFmtId="3" fontId="35" fillId="21" borderId="1" xfId="0" applyNumberFormat="1" applyFont="1" applyFill="1" applyBorder="1" applyAlignment="1">
      <alignment horizontal="center" vertical="top" wrapText="1"/>
    </xf>
    <xf numFmtId="3" fontId="35" fillId="21" borderId="3" xfId="0" applyNumberFormat="1" applyFont="1" applyFill="1" applyBorder="1" applyAlignment="1">
      <alignment horizontal="center" vertical="top" wrapText="1"/>
    </xf>
    <xf numFmtId="3" fontId="35" fillId="18" borderId="2" xfId="0" applyNumberFormat="1" applyFont="1" applyFill="1" applyBorder="1" applyAlignment="1">
      <alignment horizontal="center" vertical="top" wrapText="1"/>
    </xf>
    <xf numFmtId="3" fontId="31" fillId="7" borderId="2" xfId="0" applyNumberFormat="1" applyFont="1" applyFill="1" applyBorder="1" applyAlignment="1">
      <alignment horizontal="center" vertical="top" wrapText="1"/>
    </xf>
    <xf numFmtId="0" fontId="73" fillId="0" borderId="0" xfId="0" applyFont="1" applyAlignment="1">
      <alignment horizontal="left" vertical="center"/>
    </xf>
    <xf numFmtId="0" fontId="73" fillId="0" borderId="0" xfId="0" applyFont="1" applyAlignment="1">
      <alignment horizontal="left" vertical="top" wrapText="1"/>
    </xf>
    <xf numFmtId="0" fontId="73" fillId="0" borderId="0" xfId="0" applyFont="1" applyAlignment="1">
      <alignment horizontal="left" vertical="top"/>
    </xf>
    <xf numFmtId="0" fontId="84" fillId="0" borderId="19" xfId="0" applyFont="1" applyBorder="1" applyAlignment="1">
      <alignment horizontal="right" vertical="center"/>
    </xf>
    <xf numFmtId="0" fontId="33" fillId="2" borderId="2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/>
    </xf>
    <xf numFmtId="0" fontId="75" fillId="7" borderId="2" xfId="0" applyFont="1" applyFill="1" applyBorder="1" applyAlignment="1">
      <alignment horizontal="center" vertical="center" shrinkToFit="1"/>
    </xf>
    <xf numFmtId="0" fontId="75" fillId="8" borderId="2" xfId="0" applyFont="1" applyFill="1" applyBorder="1" applyAlignment="1">
      <alignment horizontal="center" vertical="center"/>
    </xf>
    <xf numFmtId="0" fontId="72" fillId="9" borderId="2" xfId="0" applyFont="1" applyFill="1" applyBorder="1" applyAlignment="1">
      <alignment horizontal="center" vertical="center" wrapText="1"/>
    </xf>
    <xf numFmtId="0" fontId="72" fillId="9" borderId="2" xfId="0" applyFont="1" applyFill="1" applyBorder="1" applyAlignment="1">
      <alignment horizontal="center" vertical="center"/>
    </xf>
    <xf numFmtId="0" fontId="38" fillId="9" borderId="11" xfId="0" applyFont="1" applyFill="1" applyBorder="1" applyAlignment="1">
      <alignment horizontal="center" vertical="center"/>
    </xf>
    <xf numFmtId="3" fontId="63" fillId="10" borderId="1" xfId="0" applyNumberFormat="1" applyFont="1" applyFill="1" applyBorder="1" applyAlignment="1">
      <alignment horizontal="center" vertical="top" wrapText="1"/>
    </xf>
    <xf numFmtId="3" fontId="63" fillId="10" borderId="9" xfId="0" applyNumberFormat="1" applyFont="1" applyFill="1" applyBorder="1" applyAlignment="1">
      <alignment horizontal="center" vertical="top" wrapText="1"/>
    </xf>
    <xf numFmtId="3" fontId="63" fillId="10" borderId="3" xfId="0" applyNumberFormat="1" applyFont="1" applyFill="1" applyBorder="1" applyAlignment="1">
      <alignment horizontal="center" vertical="top" wrapText="1"/>
    </xf>
    <xf numFmtId="0" fontId="35" fillId="2" borderId="2" xfId="0" applyFont="1" applyFill="1" applyBorder="1" applyAlignment="1">
      <alignment horizontal="center" vertical="center" wrapText="1"/>
    </xf>
    <xf numFmtId="0" fontId="35" fillId="2" borderId="2" xfId="0" applyFont="1" applyFill="1" applyBorder="1" applyAlignment="1">
      <alignment horizontal="center" vertical="top" wrapText="1"/>
    </xf>
    <xf numFmtId="0" fontId="33" fillId="26" borderId="2" xfId="4" applyFont="1" applyFill="1" applyBorder="1" applyAlignment="1">
      <alignment horizontal="center" vertical="center"/>
    </xf>
    <xf numFmtId="4" fontId="35" fillId="0" borderId="0" xfId="4" applyNumberFormat="1" applyFont="1" applyAlignment="1">
      <alignment horizontal="right"/>
    </xf>
    <xf numFmtId="0" fontId="91" fillId="26" borderId="1" xfId="4" applyFont="1" applyFill="1" applyBorder="1" applyAlignment="1">
      <alignment horizontal="center" vertical="center"/>
    </xf>
    <xf numFmtId="0" fontId="91" fillId="26" borderId="3" xfId="4" applyFont="1" applyFill="1" applyBorder="1" applyAlignment="1">
      <alignment horizontal="center" vertical="center"/>
    </xf>
    <xf numFmtId="4" fontId="91" fillId="26" borderId="1" xfId="4" applyNumberFormat="1" applyFont="1" applyFill="1" applyBorder="1" applyAlignment="1">
      <alignment horizontal="center" vertical="center" wrapText="1"/>
    </xf>
    <xf numFmtId="4" fontId="91" fillId="26" borderId="3" xfId="4" applyNumberFormat="1" applyFont="1" applyFill="1" applyBorder="1" applyAlignment="1">
      <alignment horizontal="center" vertical="center"/>
    </xf>
    <xf numFmtId="4" fontId="91" fillId="26" borderId="1" xfId="4" applyNumberFormat="1" applyFont="1" applyFill="1" applyBorder="1" applyAlignment="1">
      <alignment horizontal="center" vertical="center"/>
    </xf>
    <xf numFmtId="4" fontId="91" fillId="26" borderId="15" xfId="4" applyNumberFormat="1" applyFont="1" applyFill="1" applyBorder="1" applyAlignment="1">
      <alignment horizontal="center" vertical="center"/>
    </xf>
    <xf numFmtId="4" fontId="91" fillId="26" borderId="18" xfId="4" applyNumberFormat="1" applyFont="1" applyFill="1" applyBorder="1" applyAlignment="1">
      <alignment horizontal="center" vertical="center"/>
    </xf>
    <xf numFmtId="4" fontId="91" fillId="26" borderId="16" xfId="4" applyNumberFormat="1" applyFont="1" applyFill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68" fillId="0" borderId="15" xfId="0" applyFont="1" applyBorder="1" applyAlignment="1">
      <alignment horizontal="center" vertical="center"/>
    </xf>
    <xf numFmtId="0" fontId="68" fillId="0" borderId="18" xfId="0" applyFont="1" applyBorder="1" applyAlignment="1">
      <alignment horizontal="center" vertical="center"/>
    </xf>
    <xf numFmtId="0" fontId="68" fillId="0" borderId="16" xfId="0" applyFont="1" applyBorder="1" applyAlignment="1">
      <alignment horizontal="center" vertical="center"/>
    </xf>
    <xf numFmtId="43" fontId="43" fillId="25" borderId="7" xfId="1" applyFont="1" applyFill="1" applyBorder="1" applyAlignment="1">
      <alignment horizontal="center" vertical="center"/>
    </xf>
    <xf numFmtId="43" fontId="43" fillId="25" borderId="8" xfId="1" applyFont="1" applyFill="1" applyBorder="1" applyAlignment="1">
      <alignment horizontal="center" vertical="center"/>
    </xf>
    <xf numFmtId="43" fontId="98" fillId="25" borderId="7" xfId="1" applyFont="1" applyFill="1" applyBorder="1" applyAlignment="1">
      <alignment horizontal="center" vertical="center"/>
    </xf>
    <xf numFmtId="43" fontId="98" fillId="25" borderId="8" xfId="1" applyFont="1" applyFill="1" applyBorder="1" applyAlignment="1">
      <alignment horizontal="center" vertical="center"/>
    </xf>
    <xf numFmtId="0" fontId="105" fillId="0" borderId="0" xfId="2" applyFont="1" applyAlignment="1">
      <alignment horizontal="center" vertical="center" wrapText="1"/>
    </xf>
    <xf numFmtId="0" fontId="76" fillId="0" borderId="0" xfId="2" applyFont="1" applyAlignment="1">
      <alignment horizontal="left" vertical="top" wrapText="1"/>
    </xf>
    <xf numFmtId="0" fontId="33" fillId="24" borderId="2" xfId="2" applyFont="1" applyFill="1" applyBorder="1" applyAlignment="1">
      <alignment horizontal="center" vertical="top" wrapText="1"/>
    </xf>
    <xf numFmtId="0" fontId="29" fillId="24" borderId="15" xfId="2" applyFont="1" applyFill="1" applyBorder="1" applyAlignment="1">
      <alignment horizontal="center" vertical="top" wrapText="1"/>
    </xf>
    <xf numFmtId="0" fontId="29" fillId="24" borderId="16" xfId="2" applyFont="1" applyFill="1" applyBorder="1" applyAlignment="1">
      <alignment horizontal="center" vertical="top" wrapText="1"/>
    </xf>
    <xf numFmtId="0" fontId="29" fillId="24" borderId="7" xfId="2" applyFont="1" applyFill="1" applyBorder="1" applyAlignment="1">
      <alignment horizontal="center" vertical="top" wrapText="1"/>
    </xf>
    <xf numFmtId="0" fontId="29" fillId="24" borderId="11" xfId="2" applyFont="1" applyFill="1" applyBorder="1" applyAlignment="1">
      <alignment horizontal="center" vertical="top" wrapText="1"/>
    </xf>
    <xf numFmtId="0" fontId="29" fillId="24" borderId="8" xfId="2" applyFont="1" applyFill="1" applyBorder="1" applyAlignment="1">
      <alignment horizontal="center" vertical="top" wrapText="1"/>
    </xf>
    <xf numFmtId="0" fontId="29" fillId="24" borderId="14" xfId="2" applyFont="1" applyFill="1" applyBorder="1" applyAlignment="1">
      <alignment horizontal="center" vertical="top" wrapText="1"/>
    </xf>
    <xf numFmtId="0" fontId="29" fillId="24" borderId="17" xfId="2" applyFont="1" applyFill="1" applyBorder="1" applyAlignment="1">
      <alignment horizontal="center" vertical="top" wrapText="1"/>
    </xf>
    <xf numFmtId="0" fontId="29" fillId="24" borderId="1" xfId="2" applyFont="1" applyFill="1" applyBorder="1" applyAlignment="1">
      <alignment horizontal="center" vertical="top" wrapText="1"/>
    </xf>
    <xf numFmtId="0" fontId="29" fillId="24" borderId="3" xfId="2" applyFont="1" applyFill="1" applyBorder="1" applyAlignment="1">
      <alignment horizontal="center" vertical="top" wrapText="1"/>
    </xf>
    <xf numFmtId="0" fontId="57" fillId="24" borderId="1" xfId="2" applyFont="1" applyFill="1" applyBorder="1" applyAlignment="1">
      <alignment horizontal="center" vertical="top" wrapText="1"/>
    </xf>
    <xf numFmtId="0" fontId="57" fillId="24" borderId="3" xfId="2" applyFont="1" applyFill="1" applyBorder="1" applyAlignment="1">
      <alignment horizontal="center" vertical="top" wrapText="1"/>
    </xf>
    <xf numFmtId="0" fontId="116" fillId="0" borderId="0" xfId="0" applyFont="1" applyFill="1" applyAlignment="1">
      <alignment horizontal="center" vertical="center"/>
    </xf>
    <xf numFmtId="0" fontId="9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43" fontId="4" fillId="0" borderId="7" xfId="1" applyFont="1" applyFill="1" applyBorder="1" applyAlignment="1">
      <alignment horizontal="center" vertical="center"/>
    </xf>
    <xf numFmtId="43" fontId="4" fillId="0" borderId="8" xfId="1" applyFont="1" applyFill="1" applyBorder="1" applyAlignment="1">
      <alignment horizontal="center" vertical="center"/>
    </xf>
    <xf numFmtId="3" fontId="91" fillId="0" borderId="1" xfId="0" applyNumberFormat="1" applyFont="1" applyFill="1" applyBorder="1" applyAlignment="1">
      <alignment horizontal="center" vertical="center" wrapText="1"/>
    </xf>
    <xf numFmtId="3" fontId="91" fillId="0" borderId="9" xfId="0" applyNumberFormat="1" applyFont="1" applyFill="1" applyBorder="1" applyAlignment="1">
      <alignment horizontal="center" vertical="center" wrapText="1"/>
    </xf>
    <xf numFmtId="3" fontId="91" fillId="0" borderId="3" xfId="0" applyNumberFormat="1" applyFont="1" applyFill="1" applyBorder="1" applyAlignment="1">
      <alignment horizontal="center" vertical="center" wrapText="1"/>
    </xf>
    <xf numFmtId="0" fontId="91" fillId="0" borderId="1" xfId="0" applyFont="1" applyFill="1" applyBorder="1" applyAlignment="1">
      <alignment horizontal="center" vertical="center" wrapText="1"/>
    </xf>
    <xf numFmtId="0" fontId="91" fillId="0" borderId="9" xfId="0" applyFont="1" applyFill="1" applyBorder="1" applyAlignment="1">
      <alignment horizontal="center" vertical="center" wrapText="1"/>
    </xf>
    <xf numFmtId="0" fontId="91" fillId="0" borderId="3" xfId="0" applyFont="1" applyFill="1" applyBorder="1" applyAlignment="1">
      <alignment horizontal="center" vertical="center" wrapText="1"/>
    </xf>
    <xf numFmtId="4" fontId="91" fillId="0" borderId="2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3" fontId="91" fillId="0" borderId="2" xfId="0" applyNumberFormat="1" applyFont="1" applyFill="1" applyBorder="1" applyAlignment="1">
      <alignment horizontal="center" vertical="center" wrapText="1"/>
    </xf>
    <xf numFmtId="15" fontId="139" fillId="0" borderId="0" xfId="0" applyNumberFormat="1" applyFont="1" applyFill="1" applyAlignment="1">
      <alignment horizontal="center" vertical="center"/>
    </xf>
    <xf numFmtId="0" fontId="139" fillId="0" borderId="0" xfId="0" applyFont="1" applyFill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43" fontId="10" fillId="0" borderId="7" xfId="1" applyFont="1" applyFill="1" applyBorder="1" applyAlignment="1">
      <alignment vertical="center" wrapText="1"/>
    </xf>
    <xf numFmtId="43" fontId="10" fillId="0" borderId="8" xfId="1" applyFont="1" applyFill="1" applyBorder="1" applyAlignment="1">
      <alignment vertical="center" wrapText="1"/>
    </xf>
    <xf numFmtId="0" fontId="9" fillId="0" borderId="13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5" fontId="9" fillId="0" borderId="0" xfId="0" applyNumberFormat="1" applyFont="1" applyFill="1" applyAlignment="1">
      <alignment horizontal="center" vertical="center"/>
    </xf>
    <xf numFmtId="43" fontId="121" fillId="0" borderId="19" xfId="1" applyFont="1" applyFill="1" applyBorder="1" applyAlignment="1">
      <alignment horizontal="center" vertical="center"/>
    </xf>
    <xf numFmtId="3" fontId="91" fillId="0" borderId="15" xfId="0" applyNumberFormat="1" applyFont="1" applyFill="1" applyBorder="1" applyAlignment="1">
      <alignment horizontal="center" vertical="center" wrapText="1"/>
    </xf>
    <xf numFmtId="3" fontId="91" fillId="0" borderId="16" xfId="0" applyNumberFormat="1" applyFont="1" applyFill="1" applyBorder="1" applyAlignment="1">
      <alignment horizontal="center" vertical="center" wrapText="1"/>
    </xf>
    <xf numFmtId="0" fontId="46" fillId="2" borderId="1" xfId="2" applyFont="1" applyFill="1" applyBorder="1" applyAlignment="1">
      <alignment horizontal="center" vertical="top" wrapText="1"/>
    </xf>
    <xf numFmtId="0" fontId="46" fillId="2" borderId="9" xfId="2" applyFont="1" applyFill="1" applyBorder="1" applyAlignment="1">
      <alignment horizontal="center" vertical="top" wrapText="1"/>
    </xf>
    <xf numFmtId="0" fontId="36" fillId="10" borderId="0" xfId="2" applyFont="1" applyFill="1" applyAlignment="1">
      <alignment horizontal="center" vertical="center" wrapText="1"/>
    </xf>
    <xf numFmtId="0" fontId="29" fillId="24" borderId="13" xfId="2" applyFont="1" applyFill="1" applyBorder="1" applyAlignment="1">
      <alignment horizontal="center" vertical="top" wrapText="1"/>
    </xf>
    <xf numFmtId="0" fontId="29" fillId="24" borderId="12" xfId="2" applyFont="1" applyFill="1" applyBorder="1" applyAlignment="1">
      <alignment horizontal="center" vertical="top" wrapText="1"/>
    </xf>
    <xf numFmtId="0" fontId="29" fillId="24" borderId="9" xfId="2" applyFont="1" applyFill="1" applyBorder="1" applyAlignment="1">
      <alignment horizontal="center" vertical="top" wrapText="1"/>
    </xf>
    <xf numFmtId="0" fontId="57" fillId="24" borderId="9" xfId="2" applyFont="1" applyFill="1" applyBorder="1" applyAlignment="1">
      <alignment horizontal="center" vertical="top" wrapText="1"/>
    </xf>
    <xf numFmtId="0" fontId="76" fillId="0" borderId="0" xfId="2" applyFont="1" applyAlignment="1">
      <alignment horizontal="right" vertical="top" wrapText="1"/>
    </xf>
    <xf numFmtId="0" fontId="61" fillId="21" borderId="0" xfId="2" applyFont="1" applyFill="1" applyAlignment="1">
      <alignment horizontal="left" vertical="center" wrapText="1"/>
    </xf>
    <xf numFmtId="0" fontId="63" fillId="0" borderId="0" xfId="2" applyFont="1" applyAlignment="1">
      <alignment horizontal="center" vertical="top" wrapText="1"/>
    </xf>
    <xf numFmtId="0" fontId="9" fillId="10" borderId="2" xfId="0" applyFont="1" applyFill="1" applyBorder="1" applyAlignment="1">
      <alignment horizontal="center" vertical="center"/>
    </xf>
    <xf numFmtId="43" fontId="0" fillId="9" borderId="0" xfId="1" applyFont="1" applyFill="1" applyAlignment="1">
      <alignment horizontal="center"/>
    </xf>
    <xf numFmtId="43" fontId="0" fillId="22" borderId="0" xfId="1" applyFont="1" applyFill="1" applyAlignment="1">
      <alignment horizontal="center"/>
    </xf>
    <xf numFmtId="43" fontId="0" fillId="27" borderId="0" xfId="1" applyFont="1" applyFill="1" applyAlignment="1">
      <alignment horizontal="center"/>
    </xf>
    <xf numFmtId="43" fontId="0" fillId="0" borderId="0" xfId="1" applyFont="1" applyAlignment="1">
      <alignment horizontal="center"/>
    </xf>
    <xf numFmtId="43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3" fontId="2" fillId="8" borderId="2" xfId="0" applyNumberFormat="1" applyFont="1" applyFill="1" applyBorder="1" applyAlignment="1">
      <alignment horizontal="center" vertical="top" wrapText="1"/>
    </xf>
    <xf numFmtId="3" fontId="6" fillId="0" borderId="7" xfId="0" applyNumberFormat="1" applyFont="1" applyBorder="1" applyAlignment="1">
      <alignment horizontal="center" vertical="top"/>
    </xf>
    <xf numFmtId="3" fontId="6" fillId="0" borderId="8" xfId="0" applyNumberFormat="1" applyFont="1" applyBorder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4" fontId="6" fillId="0" borderId="7" xfId="0" applyNumberFormat="1" applyFont="1" applyBorder="1" applyAlignment="1">
      <alignment horizontal="center" vertical="top"/>
    </xf>
    <xf numFmtId="4" fontId="6" fillId="0" borderId="8" xfId="0" applyNumberFormat="1" applyFont="1" applyBorder="1" applyAlignment="1">
      <alignment horizontal="center" vertical="top"/>
    </xf>
    <xf numFmtId="3" fontId="2" fillId="9" borderId="2" xfId="0" applyNumberFormat="1" applyFont="1" applyFill="1" applyBorder="1" applyAlignment="1">
      <alignment horizontal="center" vertical="top" wrapText="1"/>
    </xf>
    <xf numFmtId="3" fontId="2" fillId="9" borderId="1" xfId="0" applyNumberFormat="1" applyFont="1" applyFill="1" applyBorder="1" applyAlignment="1">
      <alignment horizontal="center" vertical="top" wrapText="1"/>
    </xf>
    <xf numFmtId="3" fontId="2" fillId="9" borderId="3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5" fillId="5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11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top" wrapText="1"/>
    </xf>
    <xf numFmtId="3" fontId="2" fillId="2" borderId="2" xfId="0" applyNumberFormat="1" applyFont="1" applyFill="1" applyBorder="1" applyAlignment="1">
      <alignment horizontal="center" vertical="top" wrapText="1"/>
    </xf>
    <xf numFmtId="3" fontId="12" fillId="7" borderId="2" xfId="0" applyNumberFormat="1" applyFont="1" applyFill="1" applyBorder="1" applyAlignment="1">
      <alignment horizontal="center" vertical="top" wrapText="1"/>
    </xf>
    <xf numFmtId="3" fontId="2" fillId="7" borderId="2" xfId="0" applyNumberFormat="1" applyFont="1" applyFill="1" applyBorder="1" applyAlignment="1">
      <alignment horizontal="center" vertical="top" wrapText="1"/>
    </xf>
    <xf numFmtId="0" fontId="5" fillId="8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3" fontId="12" fillId="10" borderId="2" xfId="0" applyNumberFormat="1" applyFont="1" applyFill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center" vertical="top"/>
    </xf>
    <xf numFmtId="4" fontId="3" fillId="0" borderId="8" xfId="0" applyNumberFormat="1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3" fontId="3" fillId="0" borderId="7" xfId="0" applyNumberFormat="1" applyFont="1" applyBorder="1" applyAlignment="1">
      <alignment horizontal="center" vertical="top"/>
    </xf>
    <xf numFmtId="3" fontId="3" fillId="0" borderId="8" xfId="0" applyNumberFormat="1" applyFont="1" applyBorder="1" applyAlignment="1">
      <alignment horizontal="center" vertical="top"/>
    </xf>
    <xf numFmtId="0" fontId="5" fillId="3" borderId="7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3" fontId="108" fillId="8" borderId="2" xfId="0" applyNumberFormat="1" applyFont="1" applyFill="1" applyBorder="1" applyAlignment="1">
      <alignment horizontal="center" vertical="top" wrapText="1"/>
    </xf>
    <xf numFmtId="3" fontId="108" fillId="2" borderId="2" xfId="0" applyNumberFormat="1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1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5" borderId="2" xfId="0" applyFont="1" applyFill="1" applyBorder="1" applyAlignment="1">
      <alignment horizontal="center" vertical="top"/>
    </xf>
    <xf numFmtId="0" fontId="2" fillId="4" borderId="2" xfId="0" applyFont="1" applyFill="1" applyBorder="1" applyAlignment="1">
      <alignment horizontal="center" vertical="top" wrapText="1"/>
    </xf>
    <xf numFmtId="3" fontId="115" fillId="7" borderId="2" xfId="0" applyNumberFormat="1" applyFont="1" applyFill="1" applyBorder="1" applyAlignment="1">
      <alignment horizontal="center" vertical="top" wrapText="1"/>
    </xf>
    <xf numFmtId="3" fontId="112" fillId="8" borderId="2" xfId="0" applyNumberFormat="1" applyFont="1" applyFill="1" applyBorder="1" applyAlignment="1">
      <alignment horizontal="center" vertical="top" wrapText="1"/>
    </xf>
    <xf numFmtId="3" fontId="108" fillId="9" borderId="1" xfId="0" applyNumberFormat="1" applyFont="1" applyFill="1" applyBorder="1" applyAlignment="1">
      <alignment horizontal="center" vertical="top" wrapText="1"/>
    </xf>
    <xf numFmtId="3" fontId="108" fillId="9" borderId="3" xfId="0" applyNumberFormat="1" applyFont="1" applyFill="1" applyBorder="1" applyAlignment="1">
      <alignment horizontal="center" vertical="top" wrapText="1"/>
    </xf>
    <xf numFmtId="0" fontId="11" fillId="0" borderId="0" xfId="0" applyFont="1" applyAlignment="1">
      <alignment horizontal="center" vertical="center"/>
    </xf>
    <xf numFmtId="0" fontId="2" fillId="4" borderId="2" xfId="0" applyFont="1" applyFill="1" applyBorder="1" applyAlignment="1">
      <alignment horizontal="center" vertical="top"/>
    </xf>
    <xf numFmtId="3" fontId="108" fillId="4" borderId="2" xfId="0" applyNumberFormat="1" applyFont="1" applyFill="1" applyBorder="1" applyAlignment="1">
      <alignment horizontal="center" vertical="top" wrapText="1"/>
    </xf>
    <xf numFmtId="0" fontId="108" fillId="2" borderId="2" xfId="0" applyFont="1" applyFill="1" applyBorder="1" applyAlignment="1">
      <alignment horizontal="center" vertical="top" wrapText="1"/>
    </xf>
    <xf numFmtId="0" fontId="109" fillId="7" borderId="2" xfId="0" applyFont="1" applyFill="1" applyBorder="1" applyAlignment="1">
      <alignment horizontal="center" vertical="center" shrinkToFit="1"/>
    </xf>
    <xf numFmtId="0" fontId="109" fillId="8" borderId="2" xfId="0" applyFont="1" applyFill="1" applyBorder="1" applyAlignment="1">
      <alignment horizontal="center" vertical="center"/>
    </xf>
    <xf numFmtId="0" fontId="109" fillId="9" borderId="2" xfId="0" applyFont="1" applyFill="1" applyBorder="1" applyAlignment="1">
      <alignment horizontal="center" vertical="center"/>
    </xf>
    <xf numFmtId="3" fontId="110" fillId="10" borderId="1" xfId="0" applyNumberFormat="1" applyFont="1" applyFill="1" applyBorder="1" applyAlignment="1">
      <alignment horizontal="center" vertical="top" wrapText="1"/>
    </xf>
    <xf numFmtId="3" fontId="110" fillId="10" borderId="9" xfId="0" applyNumberFormat="1" applyFont="1" applyFill="1" applyBorder="1" applyAlignment="1">
      <alignment horizontal="center" vertical="top" wrapText="1"/>
    </xf>
    <xf numFmtId="3" fontId="110" fillId="10" borderId="3" xfId="0" applyNumberFormat="1" applyFont="1" applyFill="1" applyBorder="1" applyAlignment="1">
      <alignment horizontal="center" vertical="top" wrapText="1"/>
    </xf>
    <xf numFmtId="3" fontId="108" fillId="9" borderId="2" xfId="0" applyNumberFormat="1" applyFont="1" applyFill="1" applyBorder="1" applyAlignment="1">
      <alignment horizontal="center" vertical="top" wrapText="1"/>
    </xf>
    <xf numFmtId="3" fontId="112" fillId="9" borderId="2" xfId="0" applyNumberFormat="1" applyFont="1" applyFill="1" applyBorder="1" applyAlignment="1">
      <alignment horizontal="center" vertical="top" wrapText="1"/>
    </xf>
    <xf numFmtId="0" fontId="114" fillId="30" borderId="9" xfId="0" applyFont="1" applyFill="1" applyBorder="1" applyAlignment="1">
      <alignment horizontal="left" vertical="top" wrapText="1"/>
    </xf>
    <xf numFmtId="0" fontId="114" fillId="30" borderId="9" xfId="0" applyFont="1" applyFill="1" applyBorder="1" applyAlignment="1">
      <alignment horizontal="center" vertical="top" wrapText="1"/>
    </xf>
    <xf numFmtId="3" fontId="114" fillId="30" borderId="9" xfId="1" applyNumberFormat="1" applyFont="1" applyFill="1" applyBorder="1" applyAlignment="1">
      <alignment horizontal="center" vertical="top" wrapText="1"/>
    </xf>
    <xf numFmtId="188" fontId="114" fillId="30" borderId="9" xfId="1" applyNumberFormat="1" applyFont="1" applyFill="1" applyBorder="1" applyAlignment="1">
      <alignment horizontal="center" vertical="top" wrapText="1"/>
    </xf>
    <xf numFmtId="0" fontId="114" fillId="32" borderId="9" xfId="0" applyFont="1" applyFill="1" applyBorder="1" applyAlignment="1">
      <alignment horizontal="left" vertical="top" wrapText="1"/>
    </xf>
    <xf numFmtId="3" fontId="2" fillId="4" borderId="2" xfId="0" applyNumberFormat="1" applyFont="1" applyFill="1" applyBorder="1" applyAlignment="1">
      <alignment horizontal="center" vertical="top" wrapText="1"/>
    </xf>
    <xf numFmtId="3" fontId="12" fillId="10" borderId="1" xfId="0" applyNumberFormat="1" applyFont="1" applyFill="1" applyBorder="1" applyAlignment="1">
      <alignment horizontal="center" vertical="top" wrapText="1"/>
    </xf>
    <xf numFmtId="3" fontId="12" fillId="10" borderId="9" xfId="0" applyNumberFormat="1" applyFont="1" applyFill="1" applyBorder="1" applyAlignment="1">
      <alignment horizontal="center" vertical="top" wrapText="1"/>
    </xf>
    <xf numFmtId="3" fontId="12" fillId="10" borderId="3" xfId="0" applyNumberFormat="1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5">
    <cellStyle name="Comma" xfId="1" builtinId="3"/>
    <cellStyle name="Comma 2" xfId="3"/>
    <cellStyle name="Normal" xfId="0" builtinId="0"/>
    <cellStyle name="Normal 2" xfId="2"/>
    <cellStyle name="ปกติ 2" xfId="4"/>
  </cellStyles>
  <dxfs count="0"/>
  <tableStyles count="0" defaultTableStyle="TableStyleMedium9" defaultPivotStyle="PivotStyleLight16"/>
  <colors>
    <mruColors>
      <color rgb="FFFFFFCC"/>
      <color rgb="FFF2FFEF"/>
      <color rgb="FFECFFE7"/>
      <color rgb="FFE7F9FF"/>
      <color rgb="FFFAEFFF"/>
      <color rgb="FFEBFFFF"/>
      <color rgb="FFFFEFFD"/>
      <color rgb="FFE7FAFF"/>
      <color rgb="FFFFCCFF"/>
      <color rgb="FFB9F9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131534</xdr:colOff>
      <xdr:row>1</xdr:row>
      <xdr:rowOff>2338161</xdr:rowOff>
    </xdr:from>
    <xdr:to>
      <xdr:col>28</xdr:col>
      <xdr:colOff>2262187</xdr:colOff>
      <xdr:row>2</xdr:row>
      <xdr:rowOff>335326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xmlns="" id="{E203185E-9E03-4BD1-9F0E-820EE56BB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1109" y="3147786"/>
          <a:ext cx="2130653" cy="17785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131534</xdr:colOff>
      <xdr:row>1</xdr:row>
      <xdr:rowOff>2338161</xdr:rowOff>
    </xdr:from>
    <xdr:to>
      <xdr:col>28</xdr:col>
      <xdr:colOff>2262187</xdr:colOff>
      <xdr:row>2</xdr:row>
      <xdr:rowOff>335326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xmlns="" id="{2DE3FC4C-C263-8BF2-F0C5-ACDCC53C0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3972" y="3147786"/>
          <a:ext cx="2130653" cy="178335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220581</xdr:colOff>
      <xdr:row>20</xdr:row>
      <xdr:rowOff>604086</xdr:rowOff>
    </xdr:from>
    <xdr:to>
      <xdr:col>12</xdr:col>
      <xdr:colOff>873126</xdr:colOff>
      <xdr:row>20</xdr:row>
      <xdr:rowOff>1492250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xmlns="" id="{0C7667A6-F966-9C87-65D2-D77623DF9A58}"/>
            </a:ext>
          </a:extLst>
        </xdr:cNvPr>
        <xdr:cNvSpPr/>
      </xdr:nvSpPr>
      <xdr:spPr>
        <a:xfrm>
          <a:off x="11015581" y="25003961"/>
          <a:ext cx="2509920" cy="888164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2400" b="1">
              <a:latin typeface="TH Niramit AS" panose="02000506000000020004" pitchFamily="2" charset="-34"/>
              <a:cs typeface="TH Niramit AS" panose="02000506000000020004" pitchFamily="2" charset="-34"/>
            </a:rPr>
            <a:t>  </a:t>
          </a:r>
          <a:r>
            <a:rPr lang="en-US" sz="2000" b="1">
              <a:latin typeface="TH Niramit AS" panose="02000506000000020004" pitchFamily="2" charset="-34"/>
              <a:cs typeface="TH Niramit AS" panose="02000506000000020004" pitchFamily="2" charset="-34"/>
            </a:rPr>
            <a:t>PO</a:t>
          </a:r>
          <a:r>
            <a:rPr lang="th-TH" sz="2000" b="1">
              <a:latin typeface="TH Niramit AS" panose="02000506000000020004" pitchFamily="2" charset="-34"/>
              <a:cs typeface="TH Niramit AS" panose="02000506000000020004" pitchFamily="2" charset="-34"/>
            </a:rPr>
            <a:t>  (</a:t>
          </a:r>
          <a:r>
            <a:rPr lang="en-US" sz="2000" b="1">
              <a:latin typeface="TH Niramit AS" panose="02000506000000020004" pitchFamily="2" charset="-34"/>
              <a:cs typeface="TH Niramit AS" panose="02000506000000020004" pitchFamily="2" charset="-34"/>
            </a:rPr>
            <a:t>699</a:t>
          </a:r>
          <a:r>
            <a:rPr lang="th-TH" sz="2000" b="1">
              <a:latin typeface="TH Niramit AS" panose="02000506000000020004" pitchFamily="2" charset="-34"/>
              <a:cs typeface="TH Niramit AS" panose="02000506000000020004" pitchFamily="2" charset="-34"/>
            </a:rPr>
            <a:t>,000 บาท)</a:t>
          </a:r>
          <a:r>
            <a:rPr lang="en-US" sz="2000" b="1">
              <a:latin typeface="TH Niramit AS" panose="02000506000000020004" pitchFamily="2" charset="-34"/>
              <a:cs typeface="TH Niramit AS" panose="02000506000000020004" pitchFamily="2" charset="-34"/>
            </a:rPr>
            <a:t/>
          </a:r>
          <a:br>
            <a:rPr lang="en-US" sz="2000" b="1">
              <a:latin typeface="TH Niramit AS" panose="02000506000000020004" pitchFamily="2" charset="-34"/>
              <a:cs typeface="TH Niramit AS" panose="02000506000000020004" pitchFamily="2" charset="-34"/>
            </a:rPr>
          </a:br>
          <a:r>
            <a:rPr lang="th-TH" sz="2000" b="1">
              <a:latin typeface="TH Niramit AS" panose="02000506000000020004" pitchFamily="2" charset="-34"/>
              <a:cs typeface="TH Niramit AS" panose="02000506000000020004" pitchFamily="2" charset="-34"/>
            </a:rPr>
            <a:t>699,000</a:t>
          </a:r>
          <a:r>
            <a:rPr lang="th-TH" sz="2000" b="1" baseline="0">
              <a:latin typeface="TH Niramit AS" panose="02000506000000020004" pitchFamily="2" charset="-34"/>
              <a:cs typeface="TH Niramit AS" panose="02000506000000020004" pitchFamily="2" charset="-34"/>
            </a:rPr>
            <a:t> บาท  (พช.)</a:t>
          </a:r>
          <a:br>
            <a:rPr lang="th-TH" sz="2000" b="1" baseline="0">
              <a:latin typeface="TH Niramit AS" panose="02000506000000020004" pitchFamily="2" charset="-34"/>
              <a:cs typeface="TH Niramit AS" panose="02000506000000020004" pitchFamily="2" charset="-34"/>
            </a:rPr>
          </a:br>
          <a:endParaRPr lang="en-US" sz="2400" b="1">
            <a:latin typeface="TH Niramit AS" panose="02000506000000020004" pitchFamily="2" charset="-34"/>
            <a:cs typeface="TH Niramit AS" panose="02000506000000020004" pitchFamily="2" charset="-34"/>
          </a:endParaRPr>
        </a:p>
      </xdr:txBody>
    </xdr:sp>
    <xdr:clientData/>
  </xdr:twoCellAnchor>
  <xdr:twoCellAnchor>
    <xdr:from>
      <xdr:col>10</xdr:col>
      <xdr:colOff>254000</xdr:colOff>
      <xdr:row>22</xdr:row>
      <xdr:rowOff>571500</xdr:rowOff>
    </xdr:from>
    <xdr:to>
      <xdr:col>12</xdr:col>
      <xdr:colOff>906545</xdr:colOff>
      <xdr:row>22</xdr:row>
      <xdr:rowOff>1603375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:a16="http://schemas.microsoft.com/office/drawing/2014/main" xmlns="" id="{57F8B2E1-0E27-4491-9D49-578FAAB5EF42}"/>
            </a:ext>
          </a:extLst>
        </xdr:cNvPr>
        <xdr:cNvSpPr/>
      </xdr:nvSpPr>
      <xdr:spPr>
        <a:xfrm>
          <a:off x="11049000" y="32353250"/>
          <a:ext cx="2509920" cy="1031875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2400" b="1">
              <a:latin typeface="TH Niramit AS" panose="02000506000000020004" pitchFamily="2" charset="-34"/>
              <a:cs typeface="TH Niramit AS" panose="02000506000000020004" pitchFamily="2" charset="-34"/>
            </a:rPr>
            <a:t>  </a:t>
          </a:r>
          <a:r>
            <a:rPr lang="en-US" sz="2000" b="1">
              <a:latin typeface="TH Niramit AS" panose="02000506000000020004" pitchFamily="2" charset="-34"/>
              <a:cs typeface="TH Niramit AS" panose="02000506000000020004" pitchFamily="2" charset="-34"/>
            </a:rPr>
            <a:t>PO</a:t>
          </a:r>
          <a:r>
            <a:rPr lang="th-TH" sz="2000" b="1">
              <a:latin typeface="TH Niramit AS" panose="02000506000000020004" pitchFamily="2" charset="-34"/>
              <a:cs typeface="TH Niramit AS" panose="02000506000000020004" pitchFamily="2" charset="-34"/>
            </a:rPr>
            <a:t>  (121,000</a:t>
          </a:r>
          <a:r>
            <a:rPr lang="th-TH" sz="2000" b="1" baseline="0">
              <a:latin typeface="TH Niramit AS" panose="02000506000000020004" pitchFamily="2" charset="-34"/>
              <a:cs typeface="TH Niramit AS" panose="02000506000000020004" pitchFamily="2" charset="-34"/>
            </a:rPr>
            <a:t> บาท)</a:t>
          </a:r>
          <a:br>
            <a:rPr lang="th-TH" sz="2000" b="1" baseline="0">
              <a:latin typeface="TH Niramit AS" panose="02000506000000020004" pitchFamily="2" charset="-34"/>
              <a:cs typeface="TH Niramit AS" panose="02000506000000020004" pitchFamily="2" charset="-34"/>
            </a:rPr>
          </a:br>
          <a:r>
            <a:rPr lang="th-TH" sz="2000" b="1" baseline="0">
              <a:latin typeface="TH Niramit AS" panose="02000506000000020004" pitchFamily="2" charset="-34"/>
              <a:cs typeface="TH Niramit AS" panose="02000506000000020004" pitchFamily="2" charset="-34"/>
            </a:rPr>
            <a:t>  </a:t>
          </a:r>
          <a:r>
            <a:rPr lang="th-TH" sz="1600" b="1" baseline="0">
              <a:latin typeface="TH Niramit AS" panose="02000506000000020004" pitchFamily="2" charset="-34"/>
              <a:cs typeface="TH Niramit AS" panose="02000506000000020004" pitchFamily="2" charset="-34"/>
            </a:rPr>
            <a:t>** จ้างเหมาจัดทำป้ายประจำตำบล</a:t>
          </a:r>
          <a:endParaRPr lang="en-US" sz="2400" b="1">
            <a:latin typeface="TH Niramit AS" panose="02000506000000020004" pitchFamily="2" charset="-34"/>
            <a:cs typeface="TH Niramit AS" panose="02000506000000020004" pitchFamily="2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44</xdr:col>
      <xdr:colOff>1524000</xdr:colOff>
      <xdr:row>29</xdr:row>
      <xdr:rowOff>394607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1103F884-41D1-4527-94E8-7E9567E7639F}"/>
            </a:ext>
          </a:extLst>
        </xdr:cNvPr>
        <xdr:cNvSpPr txBox="1"/>
      </xdr:nvSpPr>
      <xdr:spPr>
        <a:xfrm>
          <a:off x="32594550" y="30626957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275166</xdr:colOff>
      <xdr:row>20</xdr:row>
      <xdr:rowOff>127001</xdr:rowOff>
    </xdr:from>
    <xdr:to>
      <xdr:col>18</xdr:col>
      <xdr:colOff>1510392</xdr:colOff>
      <xdr:row>25</xdr:row>
      <xdr:rowOff>41276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xmlns="" id="{DC715371-62C0-4926-A439-229AF6730E3E}"/>
            </a:ext>
          </a:extLst>
        </xdr:cNvPr>
        <xdr:cNvSpPr txBox="1"/>
      </xdr:nvSpPr>
      <xdr:spPr>
        <a:xfrm>
          <a:off x="14774333" y="7556501"/>
          <a:ext cx="3224892" cy="1343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 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ลงชื่อ................................................ผู้รายงาน      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(...............................................)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โทร. (มือถือ) ...........................................</a:t>
          </a:r>
          <a:r>
            <a:rPr lang="en-US" sz="1600">
              <a:latin typeface="TH SarabunPSK" pitchFamily="34" charset="-34"/>
              <a:cs typeface="TH SarabunPSK" pitchFamily="34" charset="-34"/>
            </a:rPr>
            <a:t>......</a:t>
          </a:r>
          <a:endParaRPr lang="th-TH" sz="1600">
            <a:latin typeface="TH SarabunPSK" pitchFamily="34" charset="-34"/>
            <a:cs typeface="TH SarabunPSK" pitchFamily="34" charset="-34"/>
          </a:endParaRPr>
        </a:p>
        <a:p>
          <a:pPr algn="ctr"/>
          <a:r>
            <a:rPr lang="en-US" sz="1600">
              <a:latin typeface="TH SarabunPSK" pitchFamily="34" charset="-34"/>
              <a:cs typeface="TH SarabunPSK" pitchFamily="34" charset="-34"/>
            </a:rPr>
            <a:t>E</a:t>
          </a:r>
          <a:r>
            <a:rPr lang="en-US" sz="1600" baseline="0">
              <a:latin typeface="TH SarabunPSK" pitchFamily="34" charset="-34"/>
              <a:cs typeface="TH SarabunPSK" pitchFamily="34" charset="-34"/>
            </a:rPr>
            <a:t> - mail.........................................................</a:t>
          </a:r>
          <a:endParaRPr lang="th-TH" sz="1600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16</xdr:col>
      <xdr:colOff>275166</xdr:colOff>
      <xdr:row>25</xdr:row>
      <xdr:rowOff>250826</xdr:rowOff>
    </xdr:from>
    <xdr:to>
      <xdr:col>18</xdr:col>
      <xdr:colOff>1510392</xdr:colOff>
      <xdr:row>31</xdr:row>
      <xdr:rowOff>199875</xdr:rowOff>
    </xdr:to>
    <xdr:sp macro="" textlink="">
      <xdr:nvSpPr>
        <xdr:cNvPr id="5" name="TextBox 3">
          <a:extLst>
            <a:ext uri="{FF2B5EF4-FFF2-40B4-BE49-F238E27FC236}">
              <a16:creationId xmlns:a16="http://schemas.microsoft.com/office/drawing/2014/main" xmlns="" id="{67D7BD25-CA4A-4F46-B1B0-A9D25B0BC40D}"/>
            </a:ext>
          </a:extLst>
        </xdr:cNvPr>
        <xdr:cNvSpPr txBox="1"/>
      </xdr:nvSpPr>
      <xdr:spPr>
        <a:xfrm>
          <a:off x="14774333" y="9109076"/>
          <a:ext cx="3224892" cy="145188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       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          ลงชื่อ................................................ผู้รับรองข้อมูล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(...............................................)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ผวจ./รอง ผวจ./หน.สนจ./ผอ.กลุ่มงานยุทธศาสตร์ฯ</a:t>
          </a:r>
        </a:p>
      </xdr:txBody>
    </xdr:sp>
    <xdr:clientData/>
  </xdr:twoCellAnchor>
  <xdr:twoCellAnchor>
    <xdr:from>
      <xdr:col>1</xdr:col>
      <xdr:colOff>11906</xdr:colOff>
      <xdr:row>0</xdr:row>
      <xdr:rowOff>95250</xdr:rowOff>
    </xdr:from>
    <xdr:to>
      <xdr:col>1</xdr:col>
      <xdr:colOff>2202656</xdr:colOff>
      <xdr:row>2</xdr:row>
      <xdr:rowOff>47625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6F74A2C3-9118-0903-50A6-42CE272AA728}"/>
            </a:ext>
          </a:extLst>
        </xdr:cNvPr>
        <xdr:cNvSpPr txBox="1"/>
      </xdr:nvSpPr>
      <xdr:spPr>
        <a:xfrm>
          <a:off x="321469" y="95250"/>
          <a:ext cx="2190750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28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ตัวอย่าง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342900</xdr:colOff>
      <xdr:row>18</xdr:row>
      <xdr:rowOff>278946</xdr:rowOff>
    </xdr:from>
    <xdr:to>
      <xdr:col>20</xdr:col>
      <xdr:colOff>1717220</xdr:colOff>
      <xdr:row>23</xdr:row>
      <xdr:rowOff>193221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xmlns="" id="{F7B72BE1-B279-42DD-8FA3-4F8D114F8CB2}"/>
            </a:ext>
          </a:extLst>
        </xdr:cNvPr>
        <xdr:cNvSpPr txBox="1"/>
      </xdr:nvSpPr>
      <xdr:spPr>
        <a:xfrm>
          <a:off x="16372114" y="6279696"/>
          <a:ext cx="3224892" cy="1343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 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ลงชื่อ................................................ผู้รายงาน      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(...............................................)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โทร. (มือถือ) ...........................................</a:t>
          </a:r>
          <a:r>
            <a:rPr lang="en-US" sz="1600">
              <a:latin typeface="TH SarabunPSK" pitchFamily="34" charset="-34"/>
              <a:cs typeface="TH SarabunPSK" pitchFamily="34" charset="-34"/>
            </a:rPr>
            <a:t>......</a:t>
          </a:r>
          <a:endParaRPr lang="th-TH" sz="1600">
            <a:latin typeface="TH SarabunPSK" pitchFamily="34" charset="-34"/>
            <a:cs typeface="TH SarabunPSK" pitchFamily="34" charset="-34"/>
          </a:endParaRPr>
        </a:p>
        <a:p>
          <a:pPr algn="ctr"/>
          <a:r>
            <a:rPr lang="en-US" sz="1600">
              <a:latin typeface="TH SarabunPSK" pitchFamily="34" charset="-34"/>
              <a:cs typeface="TH SarabunPSK" pitchFamily="34" charset="-34"/>
            </a:rPr>
            <a:t>E</a:t>
          </a:r>
          <a:r>
            <a:rPr lang="en-US" sz="1600" baseline="0">
              <a:latin typeface="TH SarabunPSK" pitchFamily="34" charset="-34"/>
              <a:cs typeface="TH SarabunPSK" pitchFamily="34" charset="-34"/>
            </a:rPr>
            <a:t> - mail.........................................................</a:t>
          </a:r>
          <a:endParaRPr lang="th-TH" sz="1600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18</xdr:col>
      <xdr:colOff>342900</xdr:colOff>
      <xdr:row>24</xdr:row>
      <xdr:rowOff>117021</xdr:rowOff>
    </xdr:from>
    <xdr:to>
      <xdr:col>20</xdr:col>
      <xdr:colOff>1717220</xdr:colOff>
      <xdr:row>29</xdr:row>
      <xdr:rowOff>235403</xdr:rowOff>
    </xdr:to>
    <xdr:sp macro="" textlink="">
      <xdr:nvSpPr>
        <xdr:cNvPr id="3" name="TextBox 3">
          <a:extLst>
            <a:ext uri="{FF2B5EF4-FFF2-40B4-BE49-F238E27FC236}">
              <a16:creationId xmlns:a16="http://schemas.microsoft.com/office/drawing/2014/main" xmlns="" id="{7D999F45-6E1A-489E-807F-837073717B35}"/>
            </a:ext>
          </a:extLst>
        </xdr:cNvPr>
        <xdr:cNvSpPr txBox="1"/>
      </xdr:nvSpPr>
      <xdr:spPr>
        <a:xfrm>
          <a:off x="16372114" y="7832271"/>
          <a:ext cx="3224892" cy="145188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       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          ลงชื่อ................................................ผู้รับรองข้อมูล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(...............................................)</a:t>
          </a:r>
        </a:p>
        <a:p>
          <a:pPr algn="ctr"/>
          <a:r>
            <a:rPr lang="th-TH" sz="1600">
              <a:latin typeface="TH SarabunPSK" pitchFamily="34" charset="-34"/>
              <a:cs typeface="TH SarabunPSK" pitchFamily="34" charset="-34"/>
            </a:rPr>
            <a:t>ผวจ./รอง ผวจ./หน.สนจ./ผอ.กลุ่มงานยุทธศาสตร์ฯ</a:t>
          </a:r>
        </a:p>
      </xdr:txBody>
    </xdr:sp>
    <xdr:clientData/>
  </xdr:twoCellAnchor>
  <xdr:twoCellAnchor>
    <xdr:from>
      <xdr:col>0</xdr:col>
      <xdr:colOff>408215</xdr:colOff>
      <xdr:row>0</xdr:row>
      <xdr:rowOff>285750</xdr:rowOff>
    </xdr:from>
    <xdr:to>
      <xdr:col>2</xdr:col>
      <xdr:colOff>204108</xdr:colOff>
      <xdr:row>2</xdr:row>
      <xdr:rowOff>258536</xdr:rowOff>
    </xdr:to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xmlns="" id="{DF0B548F-5A32-4E17-8150-028FA6ECABF6}"/>
            </a:ext>
          </a:extLst>
        </xdr:cNvPr>
        <xdr:cNvSpPr txBox="1"/>
      </xdr:nvSpPr>
      <xdr:spPr>
        <a:xfrm>
          <a:off x="408215" y="285750"/>
          <a:ext cx="2190750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28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ตัวอย่าง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8%20-%20&#3611;&#3637;&#3591;&#3610;&#3611;&#3619;&#3632;&#3617;&#3634;&#3603;%202568/1.&#3591;&#3634;&#3609;&#3591;&#3610;&#3611;&#3619;&#3632;&#3617;&#3634;&#3603;/+++++&#3612;&#3621;&#3648;&#3610;&#3636;&#3585;&#3592;&#3656;&#3634;&#3618;/7.&#3614;.&#3588;.68/27-05-68/&#3591;&#3610;&#3592;&#3633;&#3591;&#3627;&#3623;&#3633;&#3604;%20(&#3650;&#3610;&#3623;&#3660;)%20&#3619;&#3634;&#3618;&#3591;&#3634;&#3609;&#3626;&#3606;&#3634;&#3609;&#3632;&#3585;&#3634;&#3619;&#3648;&#3610;&#3636;&#3585;&#3592;&#3656;&#3634;&#3618;&#3591;&#3610;&#3611;&#3619;&#3632;&#3617;&#3634;&#3603;&#3605;&#3634;&#3617;&#3588;&#3656;&#3634;&#3619;&#3627;&#3633;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FMA46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N123"/>
  <sheetViews>
    <sheetView view="pageBreakPreview" zoomScale="40" zoomScaleNormal="26" zoomScaleSheetLayoutView="40" workbookViewId="0">
      <pane ySplit="6" topLeftCell="A7" activePane="bottomLeft" state="frozen"/>
      <selection pane="bottomLeft" activeCell="B2" sqref="B2:AC2"/>
    </sheetView>
  </sheetViews>
  <sheetFormatPr defaultColWidth="9" defaultRowHeight="22.5" x14ac:dyDescent="0.55000000000000004"/>
  <cols>
    <col min="1" max="1" width="4.125" style="183" customWidth="1"/>
    <col min="2" max="2" width="42" style="183" customWidth="1"/>
    <col min="3" max="3" width="21.125" style="183" hidden="1" customWidth="1"/>
    <col min="4" max="4" width="24.75" style="190" hidden="1" customWidth="1"/>
    <col min="5" max="5" width="27.875" style="190" hidden="1" customWidth="1"/>
    <col min="6" max="6" width="23" style="190" hidden="1" customWidth="1"/>
    <col min="7" max="7" width="8.375" style="183" hidden="1" customWidth="1"/>
    <col min="8" max="8" width="9.25" style="228" hidden="1" customWidth="1"/>
    <col min="9" max="9" width="8.375" style="228" hidden="1" customWidth="1"/>
    <col min="10" max="10" width="10" style="228" hidden="1" customWidth="1"/>
    <col min="11" max="11" width="10.25" style="183" hidden="1" customWidth="1"/>
    <col min="12" max="12" width="9.375" style="183" hidden="1" customWidth="1"/>
    <col min="13" max="13" width="12.25" style="183" hidden="1" customWidth="1"/>
    <col min="14" max="14" width="24.875" style="183" hidden="1" customWidth="1"/>
    <col min="15" max="15" width="24" style="183" hidden="1" customWidth="1"/>
    <col min="16" max="16" width="6.125" style="183" hidden="1" customWidth="1"/>
    <col min="17" max="17" width="27.75" style="190" customWidth="1"/>
    <col min="18" max="18" width="27.875" style="190" customWidth="1"/>
    <col min="19" max="19" width="25" style="190" customWidth="1"/>
    <col min="20" max="20" width="24" style="183" hidden="1" customWidth="1"/>
    <col min="21" max="21" width="27.75" style="183" customWidth="1"/>
    <col min="22" max="22" width="13.875" style="183" customWidth="1"/>
    <col min="23" max="23" width="25.875" style="183" customWidth="1"/>
    <col min="24" max="24" width="16.375" style="183" customWidth="1"/>
    <col min="25" max="25" width="24.875" style="183" customWidth="1"/>
    <col min="26" max="26" width="14.375" style="183" customWidth="1"/>
    <col min="27" max="28" width="21" style="183" customWidth="1"/>
    <col min="29" max="29" width="35.625" style="183" customWidth="1"/>
    <col min="30" max="30" width="15" style="183" hidden="1" customWidth="1"/>
    <col min="31" max="31" width="19.25" style="183" hidden="1" customWidth="1"/>
    <col min="32" max="32" width="20.25" style="183" hidden="1" customWidth="1"/>
    <col min="33" max="33" width="12.875" style="183" hidden="1" customWidth="1"/>
    <col min="34" max="34" width="33.875" style="183" hidden="1" customWidth="1"/>
    <col min="35" max="35" width="29" style="183" hidden="1" customWidth="1"/>
    <col min="36" max="37" width="0" style="183" hidden="1" customWidth="1"/>
    <col min="38" max="38" width="30.75" style="183" customWidth="1"/>
    <col min="39" max="39" width="9" style="183"/>
    <col min="40" max="40" width="49.625" style="183" customWidth="1"/>
    <col min="41" max="41" width="45.75" style="183" customWidth="1"/>
    <col min="42" max="16384" width="9" style="183"/>
  </cols>
  <sheetData>
    <row r="1" spans="1:38" ht="63.75" customHeight="1" x14ac:dyDescent="0.55000000000000004">
      <c r="A1" s="1344" t="s">
        <v>695</v>
      </c>
      <c r="B1" s="1344"/>
      <c r="C1" s="1344"/>
      <c r="D1" s="1344"/>
      <c r="E1" s="1344"/>
      <c r="F1" s="1344"/>
      <c r="G1" s="1344"/>
      <c r="H1" s="1344"/>
      <c r="I1" s="1344"/>
      <c r="J1" s="1344"/>
      <c r="K1" s="1344"/>
      <c r="L1" s="1344"/>
      <c r="M1" s="1344"/>
      <c r="N1" s="1344"/>
      <c r="O1" s="1344"/>
      <c r="P1" s="1344"/>
      <c r="Q1" s="1344"/>
      <c r="R1" s="1344"/>
      <c r="S1" s="1344"/>
      <c r="T1" s="1344"/>
      <c r="U1" s="1344"/>
      <c r="V1" s="1344"/>
      <c r="W1" s="1344"/>
      <c r="X1" s="1344"/>
      <c r="Y1" s="1344"/>
      <c r="Z1" s="1344"/>
      <c r="AA1" s="1344"/>
      <c r="AB1" s="1344"/>
      <c r="AC1" s="1344"/>
      <c r="AD1" s="182"/>
      <c r="AE1" s="182"/>
      <c r="AF1" s="182"/>
    </row>
    <row r="2" spans="1:38" ht="297.75" customHeight="1" x14ac:dyDescent="0.95">
      <c r="A2" s="182"/>
      <c r="B2" s="1345" t="s">
        <v>728</v>
      </c>
      <c r="C2" s="1346"/>
      <c r="D2" s="1346"/>
      <c r="E2" s="1346"/>
      <c r="F2" s="1346"/>
      <c r="G2" s="1346"/>
      <c r="H2" s="1346"/>
      <c r="I2" s="1346"/>
      <c r="J2" s="1346"/>
      <c r="K2" s="1346"/>
      <c r="L2" s="1346"/>
      <c r="M2" s="1346"/>
      <c r="N2" s="1346"/>
      <c r="O2" s="1346"/>
      <c r="P2" s="1346"/>
      <c r="Q2" s="1346"/>
      <c r="R2" s="1346"/>
      <c r="S2" s="1346"/>
      <c r="T2" s="1346"/>
      <c r="U2" s="1346"/>
      <c r="V2" s="1346"/>
      <c r="W2" s="1346"/>
      <c r="X2" s="1346"/>
      <c r="Y2" s="1346"/>
      <c r="Z2" s="1346"/>
      <c r="AA2" s="1346"/>
      <c r="AB2" s="1346"/>
      <c r="AC2" s="1346"/>
      <c r="AD2" s="182"/>
      <c r="AE2" s="182"/>
      <c r="AF2" s="182"/>
      <c r="AH2" s="511" t="e">
        <f>W7+Y7+#REF!</f>
        <v>#REF!</v>
      </c>
      <c r="AI2" s="521">
        <f>U7+W7</f>
        <v>370849354.58000004</v>
      </c>
    </row>
    <row r="3" spans="1:38" ht="33.75" customHeight="1" x14ac:dyDescent="0.55000000000000004">
      <c r="A3" s="184"/>
      <c r="B3" s="300"/>
      <c r="C3" s="184"/>
      <c r="D3" s="301"/>
      <c r="E3" s="185"/>
      <c r="F3" s="185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301"/>
      <c r="R3" s="185"/>
      <c r="S3" s="185"/>
      <c r="T3" s="184"/>
      <c r="U3" s="184"/>
      <c r="V3" s="184"/>
      <c r="W3" s="185"/>
      <c r="X3" s="184"/>
      <c r="Y3" s="921"/>
      <c r="Z3" s="922"/>
      <c r="AA3" s="1347"/>
      <c r="AB3" s="1347"/>
      <c r="AC3" s="1347"/>
      <c r="AD3" s="182"/>
      <c r="AE3" s="182"/>
      <c r="AF3" s="182"/>
    </row>
    <row r="4" spans="1:38" s="186" customFormat="1" ht="74.45" customHeight="1" x14ac:dyDescent="0.8">
      <c r="A4" s="1348" t="s">
        <v>0</v>
      </c>
      <c r="B4" s="1349" t="s">
        <v>722</v>
      </c>
      <c r="C4" s="1350"/>
      <c r="D4" s="1350"/>
      <c r="E4" s="1350"/>
      <c r="F4" s="1350"/>
      <c r="G4" s="1351" t="s">
        <v>182</v>
      </c>
      <c r="H4" s="1351"/>
      <c r="I4" s="1351"/>
      <c r="J4" s="1351"/>
      <c r="K4" s="1352" t="s">
        <v>225</v>
      </c>
      <c r="L4" s="1352"/>
      <c r="M4" s="1352"/>
      <c r="N4" s="611"/>
      <c r="O4" s="612"/>
      <c r="P4" s="612"/>
      <c r="Q4" s="1353" t="s">
        <v>693</v>
      </c>
      <c r="R4" s="1354"/>
      <c r="S4" s="1354"/>
      <c r="T4" s="612"/>
      <c r="U4" s="1355" t="s">
        <v>227</v>
      </c>
      <c r="V4" s="1355"/>
      <c r="W4" s="1355"/>
      <c r="X4" s="1355"/>
      <c r="Y4" s="1355"/>
      <c r="Z4" s="1355"/>
      <c r="AA4" s="836"/>
      <c r="AB4" s="872"/>
      <c r="AC4" s="1356" t="s">
        <v>523</v>
      </c>
      <c r="AD4" s="609"/>
      <c r="AE4" s="610"/>
      <c r="AF4" s="609"/>
    </row>
    <row r="5" spans="1:38" ht="102" customHeight="1" x14ac:dyDescent="0.95">
      <c r="A5" s="1348"/>
      <c r="B5" s="1359" t="s">
        <v>178</v>
      </c>
      <c r="C5" s="1360" t="s">
        <v>192</v>
      </c>
      <c r="D5" s="1337" t="s">
        <v>528</v>
      </c>
      <c r="E5" s="1338" t="s">
        <v>180</v>
      </c>
      <c r="F5" s="1338" t="s">
        <v>181</v>
      </c>
      <c r="G5" s="1343" t="s">
        <v>220</v>
      </c>
      <c r="H5" s="1343"/>
      <c r="I5" s="1333" t="s">
        <v>221</v>
      </c>
      <c r="J5" s="1333"/>
      <c r="K5" s="1334" t="s">
        <v>183</v>
      </c>
      <c r="L5" s="1335" t="s">
        <v>222</v>
      </c>
      <c r="M5" s="1335" t="s">
        <v>219</v>
      </c>
      <c r="N5" s="1336" t="s">
        <v>228</v>
      </c>
      <c r="O5" s="302" t="s">
        <v>328</v>
      </c>
      <c r="P5" s="302" t="s">
        <v>204</v>
      </c>
      <c r="Q5" s="1337" t="s">
        <v>528</v>
      </c>
      <c r="R5" s="1338" t="s">
        <v>180</v>
      </c>
      <c r="S5" s="1338" t="s">
        <v>181</v>
      </c>
      <c r="T5" s="302" t="s">
        <v>474</v>
      </c>
      <c r="U5" s="534" t="s">
        <v>519</v>
      </c>
      <c r="V5" s="535" t="s">
        <v>328</v>
      </c>
      <c r="W5" s="1339" t="s">
        <v>242</v>
      </c>
      <c r="X5" s="1340" t="s">
        <v>525</v>
      </c>
      <c r="Y5" s="1342" t="s">
        <v>421</v>
      </c>
      <c r="Z5" s="1331" t="s">
        <v>328</v>
      </c>
      <c r="AA5" s="631" t="s">
        <v>603</v>
      </c>
      <c r="AB5" s="631"/>
      <c r="AC5" s="1357"/>
      <c r="AD5" s="188" t="s">
        <v>392</v>
      </c>
      <c r="AE5" s="189" t="s">
        <v>396</v>
      </c>
      <c r="AF5" s="188" t="s">
        <v>401</v>
      </c>
      <c r="AH5" s="253" t="s">
        <v>527</v>
      </c>
      <c r="AL5" s="521"/>
    </row>
    <row r="6" spans="1:38" ht="30" customHeight="1" x14ac:dyDescent="0.55000000000000004">
      <c r="A6" s="1348"/>
      <c r="B6" s="1359"/>
      <c r="C6" s="1360"/>
      <c r="D6" s="1337"/>
      <c r="E6" s="1338"/>
      <c r="F6" s="1338"/>
      <c r="G6" s="187" t="s">
        <v>215</v>
      </c>
      <c r="H6" s="187" t="s">
        <v>216</v>
      </c>
      <c r="I6" s="187" t="s">
        <v>217</v>
      </c>
      <c r="J6" s="187" t="s">
        <v>216</v>
      </c>
      <c r="K6" s="1334"/>
      <c r="L6" s="1335"/>
      <c r="M6" s="1335"/>
      <c r="N6" s="1336"/>
      <c r="O6" s="191"/>
      <c r="P6" s="191"/>
      <c r="Q6" s="1337"/>
      <c r="R6" s="1338"/>
      <c r="S6" s="1338"/>
      <c r="T6" s="191"/>
      <c r="U6" s="536"/>
      <c r="V6" s="536"/>
      <c r="W6" s="1339"/>
      <c r="X6" s="1341"/>
      <c r="Y6" s="1342"/>
      <c r="Z6" s="1332"/>
      <c r="AA6" s="630"/>
      <c r="AB6" s="630"/>
      <c r="AC6" s="1358"/>
      <c r="AD6" s="192"/>
      <c r="AE6" s="193"/>
      <c r="AF6" s="192"/>
    </row>
    <row r="7" spans="1:38" s="306" customFormat="1" ht="66.75" customHeight="1" x14ac:dyDescent="1.25">
      <c r="A7" s="544"/>
      <c r="B7" s="879"/>
      <c r="C7" s="545"/>
      <c r="D7" s="532">
        <f>D8+D32+D58+D79</f>
        <v>37210000</v>
      </c>
      <c r="E7" s="565">
        <f>E8+E32+E58+E79</f>
        <v>182716100</v>
      </c>
      <c r="F7" s="546">
        <f>F8+F32+F58+F79</f>
        <v>219926100</v>
      </c>
      <c r="G7" s="532"/>
      <c r="H7" s="532"/>
      <c r="I7" s="532"/>
      <c r="J7" s="532"/>
      <c r="K7" s="532"/>
      <c r="L7" s="532"/>
      <c r="M7" s="532"/>
      <c r="N7" s="532">
        <f>N8+N32+N58+N79</f>
        <v>99171058</v>
      </c>
      <c r="O7" s="532">
        <f>N7/F7*100</f>
        <v>45.092900751661581</v>
      </c>
      <c r="P7" s="532">
        <f>P8+P32+P58+P79</f>
        <v>181328630.21000001</v>
      </c>
      <c r="Q7" s="532">
        <f>Q8+Q32+Q58+Q79</f>
        <v>38563000</v>
      </c>
      <c r="R7" s="532">
        <f t="shared" ref="R7:S7" si="0">R8+R32+R58+R79</f>
        <v>181363100</v>
      </c>
      <c r="S7" s="532">
        <f t="shared" si="0"/>
        <v>219926100</v>
      </c>
      <c r="T7" s="532">
        <f>T8+T32+T58+T79</f>
        <v>31523253.27</v>
      </c>
      <c r="U7" s="532">
        <f>U8+U32+U58+U79</f>
        <v>219834653.29000002</v>
      </c>
      <c r="V7" s="917">
        <f>U7/S7*100</f>
        <v>99.958419346316802</v>
      </c>
      <c r="W7" s="613">
        <f>W8+W32+W58+W79</f>
        <v>151014701.29000002</v>
      </c>
      <c r="X7" s="614">
        <f>W7/S7*100</f>
        <v>68.666111612036957</v>
      </c>
      <c r="Y7" s="815">
        <f>S7-W7-AA7</f>
        <v>68819951.999999985</v>
      </c>
      <c r="Z7" s="624">
        <f>Y7/S7*100</f>
        <v>31.292307734279827</v>
      </c>
      <c r="AA7" s="632">
        <f>AA8+AA32+AA58+AA79</f>
        <v>91446.71</v>
      </c>
      <c r="AB7" s="632">
        <f>AA7/S7*100</f>
        <v>4.1580653683214501E-2</v>
      </c>
      <c r="AC7" s="919">
        <f>W7+Y7+AA7</f>
        <v>219926100.00000003</v>
      </c>
      <c r="AD7" s="303"/>
      <c r="AE7" s="304"/>
      <c r="AF7" s="303">
        <f>2200856.17-W7-30000-61000</f>
        <v>-148904845.12000003</v>
      </c>
      <c r="AG7" s="305" t="e">
        <f>X7+Z7+#REF!</f>
        <v>#REF!</v>
      </c>
      <c r="AH7" s="494">
        <f>AH8+AH32+AH58+AH79</f>
        <v>41409400.670000002</v>
      </c>
      <c r="AI7" s="493">
        <f>AI8+AI32+AI58+AI79</f>
        <v>109605300.62</v>
      </c>
      <c r="AL7" s="606" t="e">
        <f>Y7+#REF!</f>
        <v>#REF!</v>
      </c>
    </row>
    <row r="8" spans="1:38" s="312" customFormat="1" ht="67.150000000000006" customHeight="1" x14ac:dyDescent="0.2">
      <c r="A8" s="307"/>
      <c r="B8" s="465" t="s">
        <v>526</v>
      </c>
      <c r="C8" s="308"/>
      <c r="D8" s="417">
        <f>D9+D11+D14+D17+D22+D27+D30</f>
        <v>5603600</v>
      </c>
      <c r="E8" s="566">
        <f>E9+E11+E14+E17+E22+E27+E30</f>
        <v>17846100</v>
      </c>
      <c r="F8" s="464">
        <f>F9+F11+F14+F17+F22+F27+F30</f>
        <v>23449700</v>
      </c>
      <c r="G8" s="417"/>
      <c r="H8" s="417"/>
      <c r="I8" s="417"/>
      <c r="J8" s="417"/>
      <c r="K8" s="417"/>
      <c r="L8" s="417"/>
      <c r="M8" s="417"/>
      <c r="N8" s="417">
        <v>0</v>
      </c>
      <c r="O8" s="417">
        <f>N8/F8*100</f>
        <v>0</v>
      </c>
      <c r="P8" s="417">
        <f>1320000+428630.21+495000+5580000+9988000</f>
        <v>17811630.210000001</v>
      </c>
      <c r="Q8" s="566">
        <v>6708300</v>
      </c>
      <c r="R8" s="566">
        <v>17846100</v>
      </c>
      <c r="S8" s="464">
        <f>Q8+R8</f>
        <v>24554400</v>
      </c>
      <c r="T8" s="417">
        <v>4862301.0599999996</v>
      </c>
      <c r="U8" s="537">
        <f>W8+500000</f>
        <v>24494870.210000001</v>
      </c>
      <c r="V8" s="538">
        <f>U8/S8*100</f>
        <v>99.757559581989383</v>
      </c>
      <c r="W8" s="615">
        <v>23994870.210000001</v>
      </c>
      <c r="X8" s="616">
        <f>W8/S8*100</f>
        <v>97.721264661323431</v>
      </c>
      <c r="Y8" s="815">
        <f>S8-W8-AA8</f>
        <v>499999.99999999913</v>
      </c>
      <c r="Z8" s="624">
        <f>Y8/F8*100</f>
        <v>2.1322234399587163</v>
      </c>
      <c r="AA8" s="632">
        <v>59529.79</v>
      </c>
      <c r="AB8" s="632">
        <f>AA8/S8*100</f>
        <v>0.24244041801062133</v>
      </c>
      <c r="AC8" s="873">
        <f>W8+Y8+AA8</f>
        <v>24554400</v>
      </c>
      <c r="AD8" s="309"/>
      <c r="AE8" s="310"/>
      <c r="AF8" s="309">
        <f>438400-W8</f>
        <v>-23556470.210000001</v>
      </c>
      <c r="AG8" s="311" t="e">
        <f>X8+Z8+#REF!</f>
        <v>#REF!</v>
      </c>
      <c r="AH8" s="484">
        <v>16409570.210000001</v>
      </c>
      <c r="AI8" s="496">
        <f>W8-AH8</f>
        <v>7585300</v>
      </c>
      <c r="AJ8" s="312">
        <v>0</v>
      </c>
      <c r="AK8" s="312">
        <v>0</v>
      </c>
    </row>
    <row r="9" spans="1:38" s="315" customFormat="1" ht="53.25" hidden="1" customHeight="1" x14ac:dyDescent="0.2">
      <c r="A9" s="313">
        <v>1</v>
      </c>
      <c r="B9" s="314" t="s">
        <v>409</v>
      </c>
      <c r="C9" s="314" t="s">
        <v>248</v>
      </c>
      <c r="D9" s="418">
        <f>SUM(D10:D10)</f>
        <v>0</v>
      </c>
      <c r="E9" s="418">
        <f>SUM(E10:E10)</f>
        <v>1768100</v>
      </c>
      <c r="F9" s="418">
        <f>D9+E9</f>
        <v>1768100</v>
      </c>
      <c r="G9" s="419"/>
      <c r="H9" s="419"/>
      <c r="I9" s="419"/>
      <c r="J9" s="419"/>
      <c r="K9" s="419"/>
      <c r="L9" s="419"/>
      <c r="M9" s="420"/>
      <c r="N9" s="418">
        <f>SUM(N10:N10)</f>
        <v>0</v>
      </c>
      <c r="O9" s="421"/>
      <c r="P9" s="421"/>
      <c r="Q9" s="418">
        <f>SUM(Q10:Q10)</f>
        <v>0</v>
      </c>
      <c r="R9" s="418">
        <f>SUM(R10:R10)</f>
        <v>1768100</v>
      </c>
      <c r="S9" s="418">
        <f>Q9+R9</f>
        <v>1768100</v>
      </c>
      <c r="T9" s="421"/>
      <c r="U9" s="539"/>
      <c r="V9" s="539"/>
      <c r="W9" s="617">
        <f>SUM(W10:W10)</f>
        <v>0</v>
      </c>
      <c r="X9" s="616">
        <f t="shared" ref="X9:X72" si="1">W9/F9*100</f>
        <v>0</v>
      </c>
      <c r="Y9" s="815" t="e">
        <f>F9-W9-#REF!</f>
        <v>#REF!</v>
      </c>
      <c r="Z9" s="625"/>
      <c r="AA9" s="632" t="e">
        <f>#REF!-#REF!</f>
        <v>#REF!</v>
      </c>
      <c r="AB9" s="632"/>
      <c r="AC9" s="874">
        <f>AC8/F7*100</f>
        <v>11.164841280775677</v>
      </c>
      <c r="AD9" s="198"/>
      <c r="AE9" s="199"/>
      <c r="AF9" s="200"/>
      <c r="AG9" s="311" t="e">
        <f>X9+Z9+#REF!</f>
        <v>#REF!</v>
      </c>
      <c r="AH9" s="485"/>
      <c r="AI9" s="497"/>
    </row>
    <row r="10" spans="1:38" s="204" customFormat="1" ht="36.75" hidden="1" customHeight="1" x14ac:dyDescent="0.2">
      <c r="A10" s="316"/>
      <c r="B10" s="317" t="s">
        <v>420</v>
      </c>
      <c r="C10" s="318" t="s">
        <v>248</v>
      </c>
      <c r="D10" s="422">
        <v>0</v>
      </c>
      <c r="E10" s="422">
        <v>1768100</v>
      </c>
      <c r="F10" s="422">
        <f>D10+E10</f>
        <v>1768100</v>
      </c>
      <c r="G10" s="423"/>
      <c r="H10" s="423"/>
      <c r="I10" s="423">
        <v>12</v>
      </c>
      <c r="J10" s="423">
        <v>3</v>
      </c>
      <c r="K10" s="423"/>
      <c r="L10" s="423">
        <v>5</v>
      </c>
      <c r="M10" s="424" t="s">
        <v>185</v>
      </c>
      <c r="N10" s="422">
        <v>0</v>
      </c>
      <c r="O10" s="425"/>
      <c r="P10" s="425"/>
      <c r="Q10" s="422">
        <v>0</v>
      </c>
      <c r="R10" s="422">
        <v>1768100</v>
      </c>
      <c r="S10" s="422">
        <f>Q10+R10</f>
        <v>1768100</v>
      </c>
      <c r="T10" s="425"/>
      <c r="U10" s="540"/>
      <c r="V10" s="540"/>
      <c r="W10" s="618">
        <v>0</v>
      </c>
      <c r="X10" s="616">
        <f t="shared" si="1"/>
        <v>0</v>
      </c>
      <c r="Y10" s="815" t="e">
        <f>F10-W10-#REF!</f>
        <v>#REF!</v>
      </c>
      <c r="Z10" s="626"/>
      <c r="AA10" s="632" t="e">
        <f>#REF!-#REF!</f>
        <v>#REF!</v>
      </c>
      <c r="AB10" s="632"/>
      <c r="AC10" s="875" t="s">
        <v>379</v>
      </c>
      <c r="AD10" s="201"/>
      <c r="AE10" s="202"/>
      <c r="AF10" s="203"/>
      <c r="AG10" s="311" t="e">
        <f>X10+Z10+#REF!</f>
        <v>#REF!</v>
      </c>
      <c r="AH10" s="486"/>
      <c r="AI10" s="498"/>
    </row>
    <row r="11" spans="1:38" s="204" customFormat="1" ht="34.5" hidden="1" customHeight="1" x14ac:dyDescent="0.2">
      <c r="A11" s="319">
        <v>2</v>
      </c>
      <c r="B11" s="320" t="s">
        <v>249</v>
      </c>
      <c r="C11" s="320" t="s">
        <v>250</v>
      </c>
      <c r="D11" s="426">
        <f>SUM(D12:D13)</f>
        <v>2700000</v>
      </c>
      <c r="E11" s="426">
        <f>SUM(E12:E13)</f>
        <v>0</v>
      </c>
      <c r="F11" s="426">
        <f>F12+F13</f>
        <v>2700000</v>
      </c>
      <c r="G11" s="427"/>
      <c r="H11" s="427"/>
      <c r="I11" s="427"/>
      <c r="J11" s="427"/>
      <c r="K11" s="427"/>
      <c r="L11" s="427"/>
      <c r="M11" s="428"/>
      <c r="N11" s="426">
        <f>SUM(N12:N13)</f>
        <v>0</v>
      </c>
      <c r="O11" s="429"/>
      <c r="P11" s="429"/>
      <c r="Q11" s="426">
        <f>SUM(Q12:Q13)</f>
        <v>2700000</v>
      </c>
      <c r="R11" s="426">
        <f>SUM(R12:R13)</f>
        <v>0</v>
      </c>
      <c r="S11" s="426">
        <f>S12+S13</f>
        <v>2700000</v>
      </c>
      <c r="T11" s="429"/>
      <c r="U11" s="430"/>
      <c r="V11" s="430"/>
      <c r="W11" s="619">
        <f>SUM(W12:W13)</f>
        <v>0</v>
      </c>
      <c r="X11" s="616">
        <f t="shared" si="1"/>
        <v>0</v>
      </c>
      <c r="Y11" s="815" t="e">
        <f>F11-W11-#REF!</f>
        <v>#REF!</v>
      </c>
      <c r="Z11" s="627"/>
      <c r="AA11" s="632" t="e">
        <f>#REF!-#REF!</f>
        <v>#REF!</v>
      </c>
      <c r="AB11" s="632"/>
      <c r="AC11" s="874"/>
      <c r="AD11" s="206"/>
      <c r="AE11" s="206"/>
      <c r="AF11" s="206"/>
      <c r="AG11" s="311" t="e">
        <f>X11+Z11+#REF!</f>
        <v>#REF!</v>
      </c>
      <c r="AH11" s="486"/>
      <c r="AI11" s="498"/>
    </row>
    <row r="12" spans="1:38" s="204" customFormat="1" ht="60" hidden="1" customHeight="1" x14ac:dyDescent="0.2">
      <c r="A12" s="316"/>
      <c r="B12" s="317" t="s">
        <v>381</v>
      </c>
      <c r="C12" s="318" t="s">
        <v>250</v>
      </c>
      <c r="D12" s="422">
        <v>2500000</v>
      </c>
      <c r="E12" s="422">
        <v>0</v>
      </c>
      <c r="F12" s="422">
        <f>D12+E12</f>
        <v>2500000</v>
      </c>
      <c r="G12" s="423">
        <v>10</v>
      </c>
      <c r="H12" s="423">
        <v>6</v>
      </c>
      <c r="I12" s="423"/>
      <c r="J12" s="423"/>
      <c r="K12" s="423">
        <v>2</v>
      </c>
      <c r="L12" s="423"/>
      <c r="M12" s="424" t="s">
        <v>185</v>
      </c>
      <c r="N12" s="422">
        <v>0</v>
      </c>
      <c r="O12" s="425"/>
      <c r="P12" s="425"/>
      <c r="Q12" s="422">
        <v>2500000</v>
      </c>
      <c r="R12" s="422">
        <v>0</v>
      </c>
      <c r="S12" s="422">
        <f>Q12+R12</f>
        <v>2500000</v>
      </c>
      <c r="T12" s="425"/>
      <c r="U12" s="540"/>
      <c r="V12" s="540"/>
      <c r="W12" s="618">
        <v>0</v>
      </c>
      <c r="X12" s="616">
        <f t="shared" si="1"/>
        <v>0</v>
      </c>
      <c r="Y12" s="815" t="e">
        <f>F12-W12-#REF!</f>
        <v>#REF!</v>
      </c>
      <c r="Z12" s="626"/>
      <c r="AA12" s="632" t="e">
        <f>#REF!-#REF!</f>
        <v>#REF!</v>
      </c>
      <c r="AB12" s="632"/>
      <c r="AC12" s="875" t="s">
        <v>375</v>
      </c>
      <c r="AD12" s="201"/>
      <c r="AE12" s="201"/>
      <c r="AF12" s="201"/>
      <c r="AG12" s="311" t="e">
        <f>X12+Z12+#REF!</f>
        <v>#REF!</v>
      </c>
      <c r="AH12" s="486"/>
      <c r="AI12" s="498"/>
    </row>
    <row r="13" spans="1:38" s="204" customFormat="1" ht="98.25" hidden="1" customHeight="1" x14ac:dyDescent="0.2">
      <c r="A13" s="316"/>
      <c r="B13" s="317" t="s">
        <v>251</v>
      </c>
      <c r="C13" s="318" t="s">
        <v>250</v>
      </c>
      <c r="D13" s="422">
        <v>200000</v>
      </c>
      <c r="E13" s="422">
        <v>0</v>
      </c>
      <c r="F13" s="422">
        <f>D13+E13</f>
        <v>200000</v>
      </c>
      <c r="G13" s="423">
        <v>10</v>
      </c>
      <c r="H13" s="423">
        <v>9</v>
      </c>
      <c r="I13" s="423"/>
      <c r="J13" s="423"/>
      <c r="K13" s="423">
        <v>2</v>
      </c>
      <c r="L13" s="423"/>
      <c r="M13" s="424" t="s">
        <v>185</v>
      </c>
      <c r="N13" s="422">
        <v>0</v>
      </c>
      <c r="O13" s="425"/>
      <c r="P13" s="425"/>
      <c r="Q13" s="422">
        <v>200000</v>
      </c>
      <c r="R13" s="422">
        <v>0</v>
      </c>
      <c r="S13" s="422">
        <f>Q13+R13</f>
        <v>200000</v>
      </c>
      <c r="T13" s="425"/>
      <c r="U13" s="540"/>
      <c r="V13" s="540"/>
      <c r="W13" s="618">
        <v>0</v>
      </c>
      <c r="X13" s="616">
        <f t="shared" si="1"/>
        <v>0</v>
      </c>
      <c r="Y13" s="815" t="e">
        <f>F13-W13-#REF!</f>
        <v>#REF!</v>
      </c>
      <c r="Z13" s="626"/>
      <c r="AA13" s="632" t="e">
        <f>#REF!-#REF!</f>
        <v>#REF!</v>
      </c>
      <c r="AB13" s="632"/>
      <c r="AC13" s="875" t="s">
        <v>376</v>
      </c>
      <c r="AD13" s="201"/>
      <c r="AE13" s="201"/>
      <c r="AF13" s="201"/>
      <c r="AG13" s="311" t="e">
        <f>X13+Z13+#REF!</f>
        <v>#REF!</v>
      </c>
      <c r="AH13" s="486"/>
      <c r="AI13" s="498"/>
    </row>
    <row r="14" spans="1:38" s="204" customFormat="1" ht="35.25" hidden="1" customHeight="1" x14ac:dyDescent="0.2">
      <c r="A14" s="319">
        <v>3</v>
      </c>
      <c r="B14" s="320" t="s">
        <v>252</v>
      </c>
      <c r="C14" s="320" t="s">
        <v>253</v>
      </c>
      <c r="D14" s="426">
        <f>SUM(D15:D16)</f>
        <v>136900</v>
      </c>
      <c r="E14" s="426">
        <f>SUM(E15:E16)</f>
        <v>5589000</v>
      </c>
      <c r="F14" s="426">
        <f>SUM(F15:F16)</f>
        <v>5725900</v>
      </c>
      <c r="G14" s="427"/>
      <c r="H14" s="427"/>
      <c r="I14" s="427"/>
      <c r="J14" s="427"/>
      <c r="K14" s="427"/>
      <c r="L14" s="427"/>
      <c r="M14" s="428"/>
      <c r="N14" s="426">
        <f>SUM(N15:N16)</f>
        <v>0</v>
      </c>
      <c r="O14" s="429"/>
      <c r="P14" s="429"/>
      <c r="Q14" s="426">
        <f>SUM(Q15:Q16)</f>
        <v>136900</v>
      </c>
      <c r="R14" s="426">
        <f>SUM(R15:R16)</f>
        <v>5589000</v>
      </c>
      <c r="S14" s="426">
        <f>SUM(S15:S16)</f>
        <v>5725900</v>
      </c>
      <c r="T14" s="429"/>
      <c r="U14" s="430"/>
      <c r="V14" s="430"/>
      <c r="W14" s="619">
        <f>SUM(W15:W16)</f>
        <v>0</v>
      </c>
      <c r="X14" s="616">
        <f t="shared" si="1"/>
        <v>0</v>
      </c>
      <c r="Y14" s="815" t="e">
        <f>F14-W14-#REF!</f>
        <v>#REF!</v>
      </c>
      <c r="Z14" s="627"/>
      <c r="AA14" s="632" t="e">
        <f>#REF!-#REF!</f>
        <v>#REF!</v>
      </c>
      <c r="AB14" s="632"/>
      <c r="AC14" s="874"/>
      <c r="AD14" s="206"/>
      <c r="AE14" s="206"/>
      <c r="AF14" s="206"/>
      <c r="AG14" s="311" t="e">
        <f>X14+Z14+#REF!</f>
        <v>#REF!</v>
      </c>
      <c r="AH14" s="486"/>
      <c r="AI14" s="498"/>
    </row>
    <row r="15" spans="1:38" s="204" customFormat="1" ht="50.25" hidden="1" customHeight="1" x14ac:dyDescent="0.2">
      <c r="A15" s="316"/>
      <c r="B15" s="317" t="s">
        <v>316</v>
      </c>
      <c r="C15" s="318" t="s">
        <v>253</v>
      </c>
      <c r="D15" s="422">
        <v>136900</v>
      </c>
      <c r="E15" s="422">
        <v>0</v>
      </c>
      <c r="F15" s="422">
        <f>D15+E15</f>
        <v>136900</v>
      </c>
      <c r="G15" s="423">
        <v>10</v>
      </c>
      <c r="H15" s="423">
        <v>2</v>
      </c>
      <c r="I15" s="423"/>
      <c r="J15" s="423"/>
      <c r="K15" s="423">
        <v>2</v>
      </c>
      <c r="L15" s="423"/>
      <c r="M15" s="424" t="s">
        <v>185</v>
      </c>
      <c r="N15" s="422">
        <v>0</v>
      </c>
      <c r="O15" s="425"/>
      <c r="P15" s="425"/>
      <c r="Q15" s="422">
        <v>136900</v>
      </c>
      <c r="R15" s="422">
        <v>0</v>
      </c>
      <c r="S15" s="422">
        <f>Q15+R15</f>
        <v>136900</v>
      </c>
      <c r="T15" s="425"/>
      <c r="U15" s="540"/>
      <c r="V15" s="540"/>
      <c r="W15" s="618">
        <v>0</v>
      </c>
      <c r="X15" s="616">
        <f t="shared" si="1"/>
        <v>0</v>
      </c>
      <c r="Y15" s="815" t="e">
        <f>F15-W15-#REF!</f>
        <v>#REF!</v>
      </c>
      <c r="Z15" s="626"/>
      <c r="AA15" s="632" t="e">
        <f>#REF!-#REF!</f>
        <v>#REF!</v>
      </c>
      <c r="AB15" s="632"/>
      <c r="AC15" s="875" t="s">
        <v>325</v>
      </c>
      <c r="AD15" s="201"/>
      <c r="AE15" s="201"/>
      <c r="AF15" s="201"/>
      <c r="AG15" s="311" t="e">
        <f>X15+Z15+#REF!</f>
        <v>#REF!</v>
      </c>
      <c r="AH15" s="486"/>
      <c r="AI15" s="498"/>
    </row>
    <row r="16" spans="1:38" s="213" customFormat="1" ht="45.75" hidden="1" customHeight="1" x14ac:dyDescent="0.2">
      <c r="A16" s="316"/>
      <c r="B16" s="317" t="s">
        <v>352</v>
      </c>
      <c r="C16" s="318" t="s">
        <v>318</v>
      </c>
      <c r="D16" s="422">
        <v>0</v>
      </c>
      <c r="E16" s="422">
        <v>5589000</v>
      </c>
      <c r="F16" s="422">
        <f>D16+E16</f>
        <v>5589000</v>
      </c>
      <c r="G16" s="423"/>
      <c r="H16" s="423"/>
      <c r="I16" s="423"/>
      <c r="J16" s="423"/>
      <c r="K16" s="423"/>
      <c r="L16" s="423"/>
      <c r="M16" s="424" t="s">
        <v>185</v>
      </c>
      <c r="N16" s="422">
        <v>0</v>
      </c>
      <c r="O16" s="425"/>
      <c r="P16" s="425"/>
      <c r="Q16" s="422">
        <v>0</v>
      </c>
      <c r="R16" s="422">
        <v>5589000</v>
      </c>
      <c r="S16" s="422">
        <f>Q16+R16</f>
        <v>5589000</v>
      </c>
      <c r="T16" s="425"/>
      <c r="U16" s="540"/>
      <c r="V16" s="540"/>
      <c r="W16" s="618">
        <v>0</v>
      </c>
      <c r="X16" s="616">
        <f t="shared" si="1"/>
        <v>0</v>
      </c>
      <c r="Y16" s="815" t="e">
        <f>F16-W16-#REF!</f>
        <v>#REF!</v>
      </c>
      <c r="Z16" s="626"/>
      <c r="AA16" s="632" t="e">
        <f>#REF!-#REF!</f>
        <v>#REF!</v>
      </c>
      <c r="AB16" s="632"/>
      <c r="AC16" s="875" t="s">
        <v>386</v>
      </c>
      <c r="AD16" s="201"/>
      <c r="AE16" s="201"/>
      <c r="AF16" s="201"/>
      <c r="AG16" s="311" t="e">
        <f>X16+Z16+#REF!</f>
        <v>#REF!</v>
      </c>
      <c r="AH16" s="486"/>
      <c r="AI16" s="498"/>
    </row>
    <row r="17" spans="1:40" s="213" customFormat="1" ht="43.5" hidden="1" customHeight="1" x14ac:dyDescent="0.2">
      <c r="A17" s="319">
        <v>4</v>
      </c>
      <c r="B17" s="320" t="s">
        <v>254</v>
      </c>
      <c r="C17" s="320" t="s">
        <v>248</v>
      </c>
      <c r="D17" s="426">
        <f>SUM(D18:D21)</f>
        <v>868100</v>
      </c>
      <c r="E17" s="426">
        <f>SUM(E18:E21)</f>
        <v>0</v>
      </c>
      <c r="F17" s="426">
        <f>SUM(F18:F21)</f>
        <v>868100</v>
      </c>
      <c r="G17" s="427"/>
      <c r="H17" s="427"/>
      <c r="I17" s="427"/>
      <c r="J17" s="427"/>
      <c r="K17" s="427"/>
      <c r="L17" s="427"/>
      <c r="M17" s="428"/>
      <c r="N17" s="426">
        <f>SUM(N18:N21)</f>
        <v>110800</v>
      </c>
      <c r="O17" s="429"/>
      <c r="P17" s="429"/>
      <c r="Q17" s="426">
        <f>SUM(Q18:Q21)</f>
        <v>868100</v>
      </c>
      <c r="R17" s="426">
        <f>SUM(R18:R21)</f>
        <v>0</v>
      </c>
      <c r="S17" s="426">
        <f>SUM(S18:S21)</f>
        <v>868100</v>
      </c>
      <c r="T17" s="429"/>
      <c r="U17" s="430"/>
      <c r="V17" s="430"/>
      <c r="W17" s="619">
        <f>SUM(W18:W21)</f>
        <v>110800</v>
      </c>
      <c r="X17" s="616">
        <f t="shared" si="1"/>
        <v>12.763506508466765</v>
      </c>
      <c r="Y17" s="815" t="e">
        <f>F17-W17-#REF!</f>
        <v>#REF!</v>
      </c>
      <c r="Z17" s="627"/>
      <c r="AA17" s="632" t="e">
        <f>#REF!-#REF!</f>
        <v>#REF!</v>
      </c>
      <c r="AB17" s="632"/>
      <c r="AC17" s="874"/>
      <c r="AD17" s="206"/>
      <c r="AE17" s="206"/>
      <c r="AF17" s="210"/>
      <c r="AG17" s="311" t="e">
        <f>X17+Z17+#REF!</f>
        <v>#REF!</v>
      </c>
      <c r="AH17" s="486"/>
      <c r="AI17" s="498"/>
    </row>
    <row r="18" spans="1:40" s="204" customFormat="1" ht="81" hidden="1" customHeight="1" x14ac:dyDescent="0.2">
      <c r="A18" s="321"/>
      <c r="B18" s="317" t="s">
        <v>314</v>
      </c>
      <c r="C18" s="322" t="s">
        <v>248</v>
      </c>
      <c r="D18" s="422">
        <v>227100</v>
      </c>
      <c r="E18" s="422">
        <v>0</v>
      </c>
      <c r="F18" s="422">
        <f>D18+E18</f>
        <v>227100</v>
      </c>
      <c r="G18" s="423">
        <v>11</v>
      </c>
      <c r="H18" s="423">
        <v>3</v>
      </c>
      <c r="I18" s="423"/>
      <c r="J18" s="423"/>
      <c r="K18" s="423">
        <v>2</v>
      </c>
      <c r="L18" s="423"/>
      <c r="M18" s="424" t="s">
        <v>185</v>
      </c>
      <c r="N18" s="422">
        <v>21950</v>
      </c>
      <c r="O18" s="425"/>
      <c r="P18" s="425"/>
      <c r="Q18" s="422">
        <v>227100</v>
      </c>
      <c r="R18" s="422">
        <v>0</v>
      </c>
      <c r="S18" s="422">
        <f>Q18+R18</f>
        <v>227100</v>
      </c>
      <c r="T18" s="425"/>
      <c r="U18" s="540"/>
      <c r="V18" s="540"/>
      <c r="W18" s="618">
        <f>13200+7700+1050</f>
        <v>21950</v>
      </c>
      <c r="X18" s="616">
        <f t="shared" si="1"/>
        <v>9.665345662703654</v>
      </c>
      <c r="Y18" s="815" t="e">
        <f>F18-W18-#REF!</f>
        <v>#REF!</v>
      </c>
      <c r="Z18" s="626"/>
      <c r="AA18" s="632" t="e">
        <f>#REF!-#REF!</f>
        <v>#REF!</v>
      </c>
      <c r="AB18" s="632"/>
      <c r="AC18" s="875" t="s">
        <v>378</v>
      </c>
      <c r="AD18" s="211" t="s">
        <v>395</v>
      </c>
      <c r="AE18" s="201" t="s">
        <v>417</v>
      </c>
      <c r="AF18" s="201"/>
      <c r="AG18" s="311" t="e">
        <f>X18+Z18+#REF!</f>
        <v>#REF!</v>
      </c>
      <c r="AH18" s="486"/>
      <c r="AI18" s="498"/>
    </row>
    <row r="19" spans="1:40" s="204" customFormat="1" ht="49.5" hidden="1" customHeight="1" x14ac:dyDescent="0.2">
      <c r="A19" s="321"/>
      <c r="B19" s="317" t="s">
        <v>255</v>
      </c>
      <c r="C19" s="322" t="s">
        <v>248</v>
      </c>
      <c r="D19" s="422">
        <v>216700</v>
      </c>
      <c r="E19" s="422">
        <v>0</v>
      </c>
      <c r="F19" s="422">
        <f>D19+E19</f>
        <v>216700</v>
      </c>
      <c r="G19" s="423">
        <v>12</v>
      </c>
      <c r="H19" s="423">
        <v>1</v>
      </c>
      <c r="I19" s="423"/>
      <c r="J19" s="423"/>
      <c r="K19" s="423">
        <v>2</v>
      </c>
      <c r="L19" s="423"/>
      <c r="M19" s="424" t="s">
        <v>185</v>
      </c>
      <c r="N19" s="422">
        <v>62700</v>
      </c>
      <c r="O19" s="425"/>
      <c r="P19" s="425"/>
      <c r="Q19" s="422">
        <v>216700</v>
      </c>
      <c r="R19" s="422">
        <v>0</v>
      </c>
      <c r="S19" s="422">
        <f>Q19+R19</f>
        <v>216700</v>
      </c>
      <c r="T19" s="425"/>
      <c r="U19" s="540"/>
      <c r="V19" s="540"/>
      <c r="W19" s="618">
        <f>39600+23100</f>
        <v>62700</v>
      </c>
      <c r="X19" s="616">
        <f t="shared" si="1"/>
        <v>28.934010152284262</v>
      </c>
      <c r="Y19" s="815" t="e">
        <f>F19-W19-#REF!</f>
        <v>#REF!</v>
      </c>
      <c r="Z19" s="626"/>
      <c r="AA19" s="632" t="e">
        <f>#REF!-#REF!</f>
        <v>#REF!</v>
      </c>
      <c r="AB19" s="632"/>
      <c r="AC19" s="875" t="s">
        <v>377</v>
      </c>
      <c r="AD19" s="207"/>
      <c r="AE19" s="207" t="s">
        <v>400</v>
      </c>
      <c r="AF19" s="207"/>
      <c r="AG19" s="311" t="e">
        <f>X19+Z19+#REF!</f>
        <v>#REF!</v>
      </c>
      <c r="AH19" s="486"/>
      <c r="AI19" s="498"/>
    </row>
    <row r="20" spans="1:40" s="204" customFormat="1" ht="54" hidden="1" customHeight="1" x14ac:dyDescent="0.2">
      <c r="A20" s="321"/>
      <c r="B20" s="317" t="s">
        <v>313</v>
      </c>
      <c r="C20" s="322" t="s">
        <v>248</v>
      </c>
      <c r="D20" s="422">
        <v>210000</v>
      </c>
      <c r="E20" s="422">
        <v>0</v>
      </c>
      <c r="F20" s="422">
        <f>D20+E20</f>
        <v>210000</v>
      </c>
      <c r="G20" s="423">
        <v>12</v>
      </c>
      <c r="H20" s="423">
        <v>9</v>
      </c>
      <c r="I20" s="423"/>
      <c r="J20" s="423"/>
      <c r="K20" s="423">
        <v>2</v>
      </c>
      <c r="L20" s="423"/>
      <c r="M20" s="424" t="s">
        <v>185</v>
      </c>
      <c r="N20" s="422">
        <f>9300+500+600+1000</f>
        <v>11400</v>
      </c>
      <c r="O20" s="425"/>
      <c r="P20" s="425"/>
      <c r="Q20" s="422">
        <v>210000</v>
      </c>
      <c r="R20" s="422">
        <v>0</v>
      </c>
      <c r="S20" s="422">
        <f>Q20+R20</f>
        <v>210000</v>
      </c>
      <c r="T20" s="425"/>
      <c r="U20" s="540"/>
      <c r="V20" s="540"/>
      <c r="W20" s="618">
        <f>9300+500+600+1000</f>
        <v>11400</v>
      </c>
      <c r="X20" s="616">
        <f t="shared" si="1"/>
        <v>5.4285714285714288</v>
      </c>
      <c r="Y20" s="815" t="e">
        <f>F20-W20-#REF!</f>
        <v>#REF!</v>
      </c>
      <c r="Z20" s="626"/>
      <c r="AA20" s="632" t="e">
        <f>#REF!-#REF!</f>
        <v>#REF!</v>
      </c>
      <c r="AB20" s="632"/>
      <c r="AC20" s="875" t="s">
        <v>377</v>
      </c>
      <c r="AD20" s="207"/>
      <c r="AE20" s="207"/>
      <c r="AF20" s="212" t="s">
        <v>404</v>
      </c>
      <c r="AG20" s="311" t="e">
        <f>X20+Z20+#REF!</f>
        <v>#REF!</v>
      </c>
      <c r="AH20" s="486"/>
      <c r="AI20" s="498"/>
    </row>
    <row r="21" spans="1:40" s="204" customFormat="1" ht="54.75" hidden="1" customHeight="1" x14ac:dyDescent="0.2">
      <c r="A21" s="321"/>
      <c r="B21" s="317" t="s">
        <v>256</v>
      </c>
      <c r="C21" s="322" t="s">
        <v>248</v>
      </c>
      <c r="D21" s="422">
        <v>214300</v>
      </c>
      <c r="E21" s="422">
        <v>0</v>
      </c>
      <c r="F21" s="422">
        <f>D21+E21</f>
        <v>214300</v>
      </c>
      <c r="G21" s="423">
        <v>12</v>
      </c>
      <c r="H21" s="423">
        <v>12</v>
      </c>
      <c r="I21" s="423"/>
      <c r="J21" s="423"/>
      <c r="K21" s="423">
        <v>2</v>
      </c>
      <c r="L21" s="423"/>
      <c r="M21" s="424" t="s">
        <v>185</v>
      </c>
      <c r="N21" s="422">
        <v>14750</v>
      </c>
      <c r="O21" s="425"/>
      <c r="P21" s="425"/>
      <c r="Q21" s="422">
        <v>214300</v>
      </c>
      <c r="R21" s="422">
        <v>0</v>
      </c>
      <c r="S21" s="422">
        <f>Q21+R21</f>
        <v>214300</v>
      </c>
      <c r="T21" s="425"/>
      <c r="U21" s="540"/>
      <c r="V21" s="540"/>
      <c r="W21" s="618">
        <f>2400+7800+4550</f>
        <v>14750</v>
      </c>
      <c r="X21" s="616">
        <f t="shared" si="1"/>
        <v>6.8828744750349973</v>
      </c>
      <c r="Y21" s="815" t="e">
        <f>F21-W21-#REF!</f>
        <v>#REF!</v>
      </c>
      <c r="Z21" s="626"/>
      <c r="AA21" s="632" t="e">
        <f>#REF!-#REF!</f>
        <v>#REF!</v>
      </c>
      <c r="AB21" s="632"/>
      <c r="AC21" s="875" t="s">
        <v>377</v>
      </c>
      <c r="AD21" s="207"/>
      <c r="AE21" s="207"/>
      <c r="AF21" s="211" t="s">
        <v>418</v>
      </c>
      <c r="AG21" s="311" t="e">
        <f>X21+Z21+#REF!</f>
        <v>#REF!</v>
      </c>
      <c r="AH21" s="486"/>
      <c r="AI21" s="498"/>
    </row>
    <row r="22" spans="1:40" s="204" customFormat="1" ht="47.25" hidden="1" customHeight="1" x14ac:dyDescent="0.2">
      <c r="A22" s="323">
        <v>5</v>
      </c>
      <c r="B22" s="320" t="s">
        <v>257</v>
      </c>
      <c r="C22" s="320" t="s">
        <v>258</v>
      </c>
      <c r="D22" s="426">
        <f>SUM(D23:D26)</f>
        <v>1158600</v>
      </c>
      <c r="E22" s="426">
        <f>SUM(E23:E26)</f>
        <v>495000</v>
      </c>
      <c r="F22" s="426">
        <f>SUM(F23:F26)</f>
        <v>1653600</v>
      </c>
      <c r="G22" s="427"/>
      <c r="H22" s="427"/>
      <c r="I22" s="427"/>
      <c r="J22" s="427"/>
      <c r="K22" s="427"/>
      <c r="L22" s="427"/>
      <c r="M22" s="428"/>
      <c r="N22" s="426">
        <f>SUM(N23:N26)</f>
        <v>197400</v>
      </c>
      <c r="O22" s="429"/>
      <c r="P22" s="429"/>
      <c r="Q22" s="426">
        <f>SUM(Q23:Q26)</f>
        <v>1158600</v>
      </c>
      <c r="R22" s="426">
        <f>SUM(R23:R26)</f>
        <v>495000</v>
      </c>
      <c r="S22" s="426">
        <f>SUM(S23:S26)</f>
        <v>1653600</v>
      </c>
      <c r="T22" s="429"/>
      <c r="U22" s="430"/>
      <c r="V22" s="430"/>
      <c r="W22" s="619">
        <f>SUM(W23:W26)</f>
        <v>197400</v>
      </c>
      <c r="X22" s="616">
        <f t="shared" si="1"/>
        <v>11.937590711175616</v>
      </c>
      <c r="Y22" s="815" t="e">
        <f>F22-W22-#REF!</f>
        <v>#REF!</v>
      </c>
      <c r="Z22" s="627"/>
      <c r="AA22" s="632" t="e">
        <f>#REF!-#REF!</f>
        <v>#REF!</v>
      </c>
      <c r="AB22" s="632"/>
      <c r="AC22" s="874"/>
      <c r="AD22" s="324"/>
      <c r="AE22" s="324"/>
      <c r="AF22" s="324"/>
      <c r="AG22" s="311" t="e">
        <f>X22+Z22+#REF!</f>
        <v>#REF!</v>
      </c>
      <c r="AH22" s="486"/>
      <c r="AI22" s="498"/>
    </row>
    <row r="23" spans="1:40" s="204" customFormat="1" ht="53.25" hidden="1" customHeight="1" x14ac:dyDescent="0.2">
      <c r="A23" s="321"/>
      <c r="B23" s="318" t="s">
        <v>259</v>
      </c>
      <c r="C23" s="318" t="s">
        <v>261</v>
      </c>
      <c r="D23" s="422">
        <v>84200</v>
      </c>
      <c r="E23" s="422">
        <v>0</v>
      </c>
      <c r="F23" s="422">
        <f>D23+E23</f>
        <v>84200</v>
      </c>
      <c r="G23" s="423">
        <v>1</v>
      </c>
      <c r="H23" s="423">
        <v>3</v>
      </c>
      <c r="I23" s="423"/>
      <c r="J23" s="423"/>
      <c r="K23" s="423">
        <v>2</v>
      </c>
      <c r="L23" s="423"/>
      <c r="M23" s="424" t="s">
        <v>185</v>
      </c>
      <c r="N23" s="422">
        <v>0</v>
      </c>
      <c r="O23" s="425"/>
      <c r="P23" s="425"/>
      <c r="Q23" s="422">
        <v>84200</v>
      </c>
      <c r="R23" s="422">
        <v>0</v>
      </c>
      <c r="S23" s="422">
        <f>Q23+R23</f>
        <v>84200</v>
      </c>
      <c r="T23" s="425"/>
      <c r="U23" s="540"/>
      <c r="V23" s="540"/>
      <c r="W23" s="618">
        <v>0</v>
      </c>
      <c r="X23" s="616">
        <f t="shared" si="1"/>
        <v>0</v>
      </c>
      <c r="Y23" s="815" t="e">
        <f>F23-W23-#REF!</f>
        <v>#REF!</v>
      </c>
      <c r="Z23" s="626"/>
      <c r="AA23" s="632" t="e">
        <f>#REF!-#REF!</f>
        <v>#REF!</v>
      </c>
      <c r="AB23" s="632"/>
      <c r="AC23" s="875" t="s">
        <v>327</v>
      </c>
      <c r="AD23" s="201"/>
      <c r="AE23" s="201"/>
      <c r="AF23" s="201"/>
      <c r="AG23" s="311" t="e">
        <f>X23+Z23+#REF!</f>
        <v>#REF!</v>
      </c>
      <c r="AH23" s="486"/>
      <c r="AI23" s="498"/>
    </row>
    <row r="24" spans="1:40" s="204" customFormat="1" ht="53.25" hidden="1" customHeight="1" x14ac:dyDescent="0.2">
      <c r="A24" s="321"/>
      <c r="B24" s="318" t="s">
        <v>260</v>
      </c>
      <c r="C24" s="318" t="s">
        <v>262</v>
      </c>
      <c r="D24" s="422">
        <v>255500</v>
      </c>
      <c r="E24" s="422">
        <v>0</v>
      </c>
      <c r="F24" s="422">
        <f>D24+E24</f>
        <v>255500</v>
      </c>
      <c r="G24" s="423">
        <v>11</v>
      </c>
      <c r="H24" s="423">
        <v>1</v>
      </c>
      <c r="I24" s="423"/>
      <c r="J24" s="423"/>
      <c r="K24" s="423">
        <v>2</v>
      </c>
      <c r="L24" s="423"/>
      <c r="M24" s="424" t="s">
        <v>185</v>
      </c>
      <c r="N24" s="422">
        <v>197400</v>
      </c>
      <c r="O24" s="425"/>
      <c r="P24" s="425"/>
      <c r="Q24" s="422">
        <v>255500</v>
      </c>
      <c r="R24" s="422">
        <v>0</v>
      </c>
      <c r="S24" s="422">
        <f>Q24+R24</f>
        <v>255500</v>
      </c>
      <c r="T24" s="425"/>
      <c r="U24" s="540"/>
      <c r="V24" s="540"/>
      <c r="W24" s="618">
        <v>197400</v>
      </c>
      <c r="X24" s="616">
        <f t="shared" si="1"/>
        <v>77.260273972602747</v>
      </c>
      <c r="Y24" s="815" t="e">
        <f>F24-W24-#REF!</f>
        <v>#REF!</v>
      </c>
      <c r="Z24" s="626"/>
      <c r="AA24" s="632" t="e">
        <f>#REF!-#REF!</f>
        <v>#REF!</v>
      </c>
      <c r="AB24" s="632"/>
      <c r="AC24" s="875" t="s">
        <v>360</v>
      </c>
      <c r="AD24" s="207" t="s">
        <v>393</v>
      </c>
      <c r="AE24" s="207">
        <f>7200+4200+6000+55000+41800+22000+39600+21600</f>
        <v>197400</v>
      </c>
      <c r="AF24" s="207"/>
      <c r="AG24" s="311" t="e">
        <f>X24+Z24+#REF!</f>
        <v>#REF!</v>
      </c>
      <c r="AH24" s="486"/>
      <c r="AI24" s="498"/>
    </row>
    <row r="25" spans="1:40" s="204" customFormat="1" ht="56.25" hidden="1" customHeight="1" x14ac:dyDescent="0.2">
      <c r="A25" s="321"/>
      <c r="B25" s="318" t="s">
        <v>382</v>
      </c>
      <c r="C25" s="318" t="s">
        <v>253</v>
      </c>
      <c r="D25" s="422">
        <v>396000</v>
      </c>
      <c r="E25" s="422">
        <v>0</v>
      </c>
      <c r="F25" s="422">
        <f>D25+E25</f>
        <v>396000</v>
      </c>
      <c r="G25" s="423">
        <v>10</v>
      </c>
      <c r="H25" s="423">
        <v>2</v>
      </c>
      <c r="I25" s="423"/>
      <c r="J25" s="423"/>
      <c r="K25" s="423">
        <v>2</v>
      </c>
      <c r="L25" s="423"/>
      <c r="M25" s="424" t="s">
        <v>185</v>
      </c>
      <c r="N25" s="422">
        <v>0</v>
      </c>
      <c r="O25" s="425"/>
      <c r="P25" s="425"/>
      <c r="Q25" s="422">
        <v>396000</v>
      </c>
      <c r="R25" s="422">
        <v>0</v>
      </c>
      <c r="S25" s="422">
        <f>Q25+R25</f>
        <v>396000</v>
      </c>
      <c r="T25" s="425"/>
      <c r="U25" s="540"/>
      <c r="V25" s="540"/>
      <c r="W25" s="618">
        <v>0</v>
      </c>
      <c r="X25" s="616">
        <f t="shared" si="1"/>
        <v>0</v>
      </c>
      <c r="Y25" s="815" t="e">
        <f>F25-W25-#REF!</f>
        <v>#REF!</v>
      </c>
      <c r="Z25" s="626"/>
      <c r="AA25" s="632" t="e">
        <f>#REF!-#REF!</f>
        <v>#REF!</v>
      </c>
      <c r="AB25" s="632"/>
      <c r="AC25" s="875" t="s">
        <v>359</v>
      </c>
      <c r="AD25" s="207"/>
      <c r="AE25" s="207"/>
      <c r="AF25" s="207"/>
      <c r="AG25" s="311" t="e">
        <f>X25+Z25+#REF!</f>
        <v>#REF!</v>
      </c>
      <c r="AH25" s="486"/>
      <c r="AI25" s="498"/>
    </row>
    <row r="26" spans="1:40" s="204" customFormat="1" ht="168.75" hidden="1" customHeight="1" x14ac:dyDescent="0.2">
      <c r="A26" s="321"/>
      <c r="B26" s="318" t="s">
        <v>416</v>
      </c>
      <c r="C26" s="318" t="s">
        <v>317</v>
      </c>
      <c r="D26" s="422">
        <v>422900</v>
      </c>
      <c r="E26" s="422">
        <v>495000</v>
      </c>
      <c r="F26" s="422">
        <f>D26+E26</f>
        <v>917900</v>
      </c>
      <c r="G26" s="423">
        <v>6</v>
      </c>
      <c r="H26" s="423">
        <v>9</v>
      </c>
      <c r="I26" s="423">
        <v>12</v>
      </c>
      <c r="J26" s="423">
        <v>1</v>
      </c>
      <c r="K26" s="423">
        <v>2</v>
      </c>
      <c r="L26" s="423">
        <v>1</v>
      </c>
      <c r="M26" s="424" t="s">
        <v>185</v>
      </c>
      <c r="N26" s="422">
        <v>0</v>
      </c>
      <c r="O26" s="425"/>
      <c r="P26" s="425"/>
      <c r="Q26" s="422">
        <v>422900</v>
      </c>
      <c r="R26" s="422">
        <v>495000</v>
      </c>
      <c r="S26" s="422">
        <f>Q26+R26</f>
        <v>917900</v>
      </c>
      <c r="T26" s="425"/>
      <c r="U26" s="540"/>
      <c r="V26" s="540"/>
      <c r="W26" s="618">
        <v>0</v>
      </c>
      <c r="X26" s="616">
        <f t="shared" si="1"/>
        <v>0</v>
      </c>
      <c r="Y26" s="815" t="e">
        <f>F26-W26-#REF!</f>
        <v>#REF!</v>
      </c>
      <c r="Z26" s="626"/>
      <c r="AA26" s="632" t="e">
        <f>#REF!-#REF!</f>
        <v>#REF!</v>
      </c>
      <c r="AB26" s="632"/>
      <c r="AC26" s="875" t="s">
        <v>538</v>
      </c>
      <c r="AD26" s="201"/>
      <c r="AE26" s="201" t="s">
        <v>399</v>
      </c>
      <c r="AF26" s="201"/>
      <c r="AG26" s="311" t="e">
        <f>X26+Z26+#REF!</f>
        <v>#REF!</v>
      </c>
      <c r="AH26" s="486"/>
      <c r="AI26" s="498"/>
    </row>
    <row r="27" spans="1:40" s="213" customFormat="1" ht="62.25" hidden="1" customHeight="1" x14ac:dyDescent="0.2">
      <c r="A27" s="319">
        <v>6</v>
      </c>
      <c r="B27" s="320" t="s">
        <v>263</v>
      </c>
      <c r="C27" s="320" t="s">
        <v>248</v>
      </c>
      <c r="D27" s="426">
        <f>SUM(D28:D29)</f>
        <v>740000</v>
      </c>
      <c r="E27" s="426">
        <f>SUM(E28:E29)</f>
        <v>0</v>
      </c>
      <c r="F27" s="426">
        <f>SUM(F28:F29)</f>
        <v>740000</v>
      </c>
      <c r="G27" s="427"/>
      <c r="H27" s="427"/>
      <c r="I27" s="427"/>
      <c r="J27" s="427"/>
      <c r="K27" s="427"/>
      <c r="L27" s="427"/>
      <c r="M27" s="428"/>
      <c r="N27" s="426">
        <f>SUM(N28:N29)</f>
        <v>130200</v>
      </c>
      <c r="O27" s="429"/>
      <c r="P27" s="429"/>
      <c r="Q27" s="426">
        <f>SUM(Q28:Q29)</f>
        <v>740000</v>
      </c>
      <c r="R27" s="426">
        <f>SUM(R28:R29)</f>
        <v>0</v>
      </c>
      <c r="S27" s="426">
        <f>SUM(S28:S29)</f>
        <v>740000</v>
      </c>
      <c r="T27" s="429"/>
      <c r="U27" s="430"/>
      <c r="V27" s="430"/>
      <c r="W27" s="619">
        <f>SUM(W28:W29)</f>
        <v>130200</v>
      </c>
      <c r="X27" s="616">
        <f t="shared" si="1"/>
        <v>17.594594594594597</v>
      </c>
      <c r="Y27" s="815" t="e">
        <f>F27-W27-#REF!</f>
        <v>#REF!</v>
      </c>
      <c r="Z27" s="627"/>
      <c r="AA27" s="632" t="e">
        <f>#REF!-#REF!</f>
        <v>#REF!</v>
      </c>
      <c r="AB27" s="632"/>
      <c r="AC27" s="874"/>
      <c r="AD27" s="206"/>
      <c r="AE27" s="206"/>
      <c r="AF27" s="210">
        <f>W28-AF28</f>
        <v>78600</v>
      </c>
      <c r="AG27" s="311" t="e">
        <f>X27+Z27+#REF!</f>
        <v>#REF!</v>
      </c>
      <c r="AH27" s="486"/>
      <c r="AI27" s="498"/>
    </row>
    <row r="28" spans="1:40" s="213" customFormat="1" ht="93.75" hidden="1" customHeight="1" x14ac:dyDescent="0.2">
      <c r="A28" s="316"/>
      <c r="B28" s="318" t="s">
        <v>315</v>
      </c>
      <c r="C28" s="318" t="s">
        <v>248</v>
      </c>
      <c r="D28" s="422">
        <v>639600</v>
      </c>
      <c r="E28" s="422">
        <v>0</v>
      </c>
      <c r="F28" s="422">
        <f>D28+E28</f>
        <v>639600</v>
      </c>
      <c r="G28" s="423">
        <v>12</v>
      </c>
      <c r="H28" s="423">
        <v>1</v>
      </c>
      <c r="I28" s="423"/>
      <c r="J28" s="423"/>
      <c r="K28" s="423">
        <v>2</v>
      </c>
      <c r="L28" s="423"/>
      <c r="M28" s="424" t="s">
        <v>185</v>
      </c>
      <c r="N28" s="422">
        <v>78600</v>
      </c>
      <c r="O28" s="425"/>
      <c r="P28" s="425"/>
      <c r="Q28" s="422">
        <v>639600</v>
      </c>
      <c r="R28" s="422">
        <v>0</v>
      </c>
      <c r="S28" s="422">
        <f>Q28+R28</f>
        <v>639600</v>
      </c>
      <c r="T28" s="425"/>
      <c r="U28" s="540"/>
      <c r="V28" s="540"/>
      <c r="W28" s="618">
        <f>14400+3000+9000+21600+12600+16200+1800</f>
        <v>78600</v>
      </c>
      <c r="X28" s="616">
        <f t="shared" si="1"/>
        <v>12.288930581613508</v>
      </c>
      <c r="Y28" s="815" t="e">
        <f>F28-W28-#REF!</f>
        <v>#REF!</v>
      </c>
      <c r="Z28" s="626"/>
      <c r="AA28" s="632" t="e">
        <f>#REF!-#REF!</f>
        <v>#REF!</v>
      </c>
      <c r="AB28" s="632"/>
      <c r="AC28" s="875" t="s">
        <v>411</v>
      </c>
      <c r="AD28" s="201"/>
      <c r="AE28" s="214" t="s">
        <v>412</v>
      </c>
      <c r="AF28" s="201"/>
      <c r="AG28" s="311" t="e">
        <f>X28+Z28+#REF!</f>
        <v>#REF!</v>
      </c>
      <c r="AH28" s="486"/>
      <c r="AI28" s="498"/>
    </row>
    <row r="29" spans="1:40" s="213" customFormat="1" ht="51" hidden="1" customHeight="1" x14ac:dyDescent="0.2">
      <c r="A29" s="316"/>
      <c r="B29" s="318" t="s">
        <v>264</v>
      </c>
      <c r="C29" s="318" t="s">
        <v>248</v>
      </c>
      <c r="D29" s="422">
        <v>100400</v>
      </c>
      <c r="E29" s="422">
        <v>0</v>
      </c>
      <c r="F29" s="422">
        <f>D29+E29</f>
        <v>100400</v>
      </c>
      <c r="G29" s="423">
        <v>12</v>
      </c>
      <c r="H29" s="423">
        <v>1</v>
      </c>
      <c r="I29" s="423"/>
      <c r="J29" s="423"/>
      <c r="K29" s="423">
        <v>2</v>
      </c>
      <c r="L29" s="423"/>
      <c r="M29" s="424" t="s">
        <v>185</v>
      </c>
      <c r="N29" s="422">
        <v>51600</v>
      </c>
      <c r="O29" s="425"/>
      <c r="P29" s="425"/>
      <c r="Q29" s="422">
        <v>100400</v>
      </c>
      <c r="R29" s="422">
        <v>0</v>
      </c>
      <c r="S29" s="422">
        <f>Q29+R29</f>
        <v>100400</v>
      </c>
      <c r="T29" s="425"/>
      <c r="U29" s="540"/>
      <c r="V29" s="540"/>
      <c r="W29" s="618">
        <v>51600</v>
      </c>
      <c r="X29" s="616">
        <f t="shared" si="1"/>
        <v>51.394422310756973</v>
      </c>
      <c r="Y29" s="815" t="e">
        <f>F29-W29-#REF!</f>
        <v>#REF!</v>
      </c>
      <c r="Z29" s="626"/>
      <c r="AA29" s="632" t="e">
        <f>#REF!-#REF!</f>
        <v>#REF!</v>
      </c>
      <c r="AB29" s="632"/>
      <c r="AC29" s="875" t="s">
        <v>377</v>
      </c>
      <c r="AD29" s="207"/>
      <c r="AE29" s="207" t="s">
        <v>413</v>
      </c>
      <c r="AF29" s="207"/>
      <c r="AG29" s="311" t="e">
        <f>X29+Z29+#REF!</f>
        <v>#REF!</v>
      </c>
      <c r="AH29" s="486"/>
      <c r="AI29" s="498"/>
    </row>
    <row r="30" spans="1:40" s="213" customFormat="1" ht="202.5" hidden="1" x14ac:dyDescent="0.2">
      <c r="A30" s="319">
        <v>7</v>
      </c>
      <c r="B30" s="320" t="s">
        <v>414</v>
      </c>
      <c r="C30" s="320" t="s">
        <v>265</v>
      </c>
      <c r="D30" s="426">
        <v>0</v>
      </c>
      <c r="E30" s="426">
        <f>E31</f>
        <v>9994000</v>
      </c>
      <c r="F30" s="426">
        <f>F31</f>
        <v>9994000</v>
      </c>
      <c r="G30" s="427"/>
      <c r="H30" s="427"/>
      <c r="I30" s="427"/>
      <c r="J30" s="427"/>
      <c r="K30" s="427"/>
      <c r="L30" s="427"/>
      <c r="M30" s="428"/>
      <c r="N30" s="426">
        <v>0</v>
      </c>
      <c r="O30" s="429"/>
      <c r="P30" s="429"/>
      <c r="Q30" s="426">
        <v>0</v>
      </c>
      <c r="R30" s="426">
        <f>R31</f>
        <v>9994000</v>
      </c>
      <c r="S30" s="426">
        <f>S31</f>
        <v>9994000</v>
      </c>
      <c r="T30" s="429"/>
      <c r="U30" s="430"/>
      <c r="V30" s="430"/>
      <c r="W30" s="619">
        <f>SUM(W31:W32)</f>
        <v>52190068</v>
      </c>
      <c r="X30" s="616">
        <f t="shared" si="1"/>
        <v>522.21400840504305</v>
      </c>
      <c r="Y30" s="815" t="e">
        <f>F30-W30-#REF!</f>
        <v>#REF!</v>
      </c>
      <c r="Z30" s="627"/>
      <c r="AA30" s="632" t="e">
        <f>#REF!-#REF!</f>
        <v>#REF!</v>
      </c>
      <c r="AB30" s="632"/>
      <c r="AC30" s="874"/>
      <c r="AD30" s="206"/>
      <c r="AE30" s="206"/>
      <c r="AF30" s="206"/>
      <c r="AG30" s="311" t="e">
        <f>X30+Z30+#REF!</f>
        <v>#REF!</v>
      </c>
      <c r="AH30" s="486"/>
      <c r="AI30" s="498"/>
    </row>
    <row r="31" spans="1:40" s="213" customFormat="1" ht="12.75" hidden="1" customHeight="1" x14ac:dyDescent="0.2">
      <c r="A31" s="316"/>
      <c r="B31" s="318" t="s">
        <v>415</v>
      </c>
      <c r="C31" s="318" t="s">
        <v>265</v>
      </c>
      <c r="D31" s="422">
        <v>0</v>
      </c>
      <c r="E31" s="422">
        <v>9994000</v>
      </c>
      <c r="F31" s="422">
        <f>D31+E31</f>
        <v>9994000</v>
      </c>
      <c r="G31" s="423"/>
      <c r="H31" s="423"/>
      <c r="I31" s="423">
        <v>12</v>
      </c>
      <c r="J31" s="423">
        <v>3</v>
      </c>
      <c r="K31" s="423"/>
      <c r="L31" s="423">
        <v>8</v>
      </c>
      <c r="M31" s="424" t="s">
        <v>185</v>
      </c>
      <c r="N31" s="422">
        <v>0</v>
      </c>
      <c r="O31" s="425"/>
      <c r="P31" s="425"/>
      <c r="Q31" s="422">
        <v>0</v>
      </c>
      <c r="R31" s="422">
        <v>9994000</v>
      </c>
      <c r="S31" s="422">
        <f>Q31+R31</f>
        <v>9994000</v>
      </c>
      <c r="T31" s="425"/>
      <c r="U31" s="540"/>
      <c r="V31" s="540"/>
      <c r="W31" s="618">
        <v>0</v>
      </c>
      <c r="X31" s="616">
        <f t="shared" si="1"/>
        <v>0</v>
      </c>
      <c r="Y31" s="815" t="e">
        <f>F31-W31-#REF!</f>
        <v>#REF!</v>
      </c>
      <c r="Z31" s="626"/>
      <c r="AA31" s="632" t="e">
        <f>#REF!-#REF!</f>
        <v>#REF!</v>
      </c>
      <c r="AB31" s="632"/>
      <c r="AC31" s="875" t="s">
        <v>383</v>
      </c>
      <c r="AD31" s="201"/>
      <c r="AE31" s="201"/>
      <c r="AF31" s="201"/>
      <c r="AG31" s="311" t="e">
        <f>X31+Z31+#REF!</f>
        <v>#REF!</v>
      </c>
      <c r="AH31" s="486"/>
      <c r="AI31" s="498"/>
    </row>
    <row r="32" spans="1:40" s="328" customFormat="1" ht="75.599999999999994" customHeight="1" x14ac:dyDescent="0.2">
      <c r="A32" s="325"/>
      <c r="B32" s="529" t="s">
        <v>572</v>
      </c>
      <c r="C32" s="327"/>
      <c r="D32" s="431">
        <f>D33+D40+D43+D54+D56</f>
        <v>15543400</v>
      </c>
      <c r="E32" s="460">
        <f>E33+E40+E43+E54+E56</f>
        <v>67000000</v>
      </c>
      <c r="F32" s="460">
        <f>F33+F40+F43+F54+F56</f>
        <v>82543400</v>
      </c>
      <c r="G32" s="431"/>
      <c r="H32" s="431"/>
      <c r="I32" s="431"/>
      <c r="J32" s="431"/>
      <c r="K32" s="431"/>
      <c r="L32" s="431"/>
      <c r="M32" s="431"/>
      <c r="N32" s="431">
        <v>41402978</v>
      </c>
      <c r="O32" s="431">
        <f>N32/F32*100</f>
        <v>50.159041183183639</v>
      </c>
      <c r="P32" s="431">
        <f>39143078+2846922+24979000</f>
        <v>66969000</v>
      </c>
      <c r="Q32" s="431">
        <v>15309900</v>
      </c>
      <c r="R32" s="460">
        <v>66969000</v>
      </c>
      <c r="S32" s="460">
        <f>Q32+R32</f>
        <v>82278900</v>
      </c>
      <c r="T32" s="431">
        <f>2259900+12266180</f>
        <v>14526080</v>
      </c>
      <c r="U32" s="537">
        <f>W32+30078632</f>
        <v>82268700</v>
      </c>
      <c r="V32" s="538">
        <f>U32/S32*100</f>
        <v>99.987603140051704</v>
      </c>
      <c r="W32" s="918">
        <v>52190068</v>
      </c>
      <c r="X32" s="615">
        <f>W32/S32*100</f>
        <v>63.430682714523414</v>
      </c>
      <c r="Y32" s="815">
        <f>S32-W32-AA32</f>
        <v>30078632</v>
      </c>
      <c r="Z32" s="624">
        <f>Y32/F32*100</f>
        <v>36.439778346905996</v>
      </c>
      <c r="AA32" s="632">
        <v>10200</v>
      </c>
      <c r="AB32" s="632">
        <f>AA32/S32*100</f>
        <v>1.2396859948297801E-2</v>
      </c>
      <c r="AC32" s="876">
        <f>W32+Y32+AA32</f>
        <v>82278900</v>
      </c>
      <c r="AD32" s="215"/>
      <c r="AE32" s="215"/>
      <c r="AF32" s="215"/>
      <c r="AG32" s="311" t="e">
        <f>X32+Z32+#REF!</f>
        <v>#REF!</v>
      </c>
      <c r="AH32" s="487">
        <v>7049400</v>
      </c>
      <c r="AI32" s="499">
        <f>W32-AH32</f>
        <v>45140668</v>
      </c>
      <c r="AL32" s="591" t="e">
        <f>#REF!-209600</f>
        <v>#REF!</v>
      </c>
      <c r="AN32" s="592">
        <f>21000+9100+13000</f>
        <v>43100</v>
      </c>
    </row>
    <row r="33" spans="1:34" s="213" customFormat="1" ht="101.25" hidden="1" x14ac:dyDescent="0.2">
      <c r="A33" s="329">
        <v>8</v>
      </c>
      <c r="B33" s="322" t="s">
        <v>266</v>
      </c>
      <c r="C33" s="322"/>
      <c r="D33" s="432">
        <f>D34+D38+D39</f>
        <v>5523400</v>
      </c>
      <c r="E33" s="432">
        <f>E34+E38+E39</f>
        <v>0</v>
      </c>
      <c r="F33" s="461">
        <f>F34+F38+F39</f>
        <v>5523400</v>
      </c>
      <c r="G33" s="432"/>
      <c r="H33" s="432"/>
      <c r="I33" s="432"/>
      <c r="J33" s="432"/>
      <c r="K33" s="432"/>
      <c r="L33" s="432"/>
      <c r="M33" s="432"/>
      <c r="N33" s="432">
        <f>N34+N38+N39</f>
        <v>0</v>
      </c>
      <c r="O33" s="433"/>
      <c r="P33" s="433"/>
      <c r="Q33" s="432">
        <f>Q34+Q38+Q39</f>
        <v>5523400</v>
      </c>
      <c r="R33" s="432">
        <f>R34+R38+R39</f>
        <v>0</v>
      </c>
      <c r="S33" s="461">
        <f>S34+S38+S39</f>
        <v>5523400</v>
      </c>
      <c r="T33" s="433"/>
      <c r="U33" s="446"/>
      <c r="V33" s="430"/>
      <c r="W33" s="620">
        <f>W34+W38+W39</f>
        <v>0</v>
      </c>
      <c r="X33" s="615">
        <f t="shared" si="1"/>
        <v>0</v>
      </c>
      <c r="Y33" s="815" t="e">
        <f>F33-W33-#REF!</f>
        <v>#REF!</v>
      </c>
      <c r="Z33" s="627"/>
      <c r="AA33" s="632" t="e">
        <f>#REF!-#REF!</f>
        <v>#REF!</v>
      </c>
      <c r="AB33" s="632"/>
      <c r="AC33" s="877"/>
      <c r="AD33" s="216"/>
      <c r="AE33" s="216"/>
      <c r="AF33" s="216"/>
      <c r="AG33" s="311" t="e">
        <f>X33+Z33+#REF!</f>
        <v>#REF!</v>
      </c>
      <c r="AH33" s="486"/>
    </row>
    <row r="34" spans="1:34" s="213" customFormat="1" ht="48.75" hidden="1" customHeight="1" x14ac:dyDescent="0.2">
      <c r="A34" s="316"/>
      <c r="B34" s="318" t="s">
        <v>267</v>
      </c>
      <c r="C34" s="318" t="s">
        <v>273</v>
      </c>
      <c r="D34" s="434">
        <v>1073400</v>
      </c>
      <c r="E34" s="434">
        <v>0</v>
      </c>
      <c r="F34" s="462">
        <f>D34+E34</f>
        <v>1073400</v>
      </c>
      <c r="G34" s="435">
        <v>12</v>
      </c>
      <c r="H34" s="435">
        <v>3</v>
      </c>
      <c r="I34" s="435"/>
      <c r="J34" s="435"/>
      <c r="K34" s="435">
        <v>2</v>
      </c>
      <c r="L34" s="435"/>
      <c r="M34" s="436" t="s">
        <v>185</v>
      </c>
      <c r="N34" s="434">
        <v>0</v>
      </c>
      <c r="O34" s="437"/>
      <c r="P34" s="437"/>
      <c r="Q34" s="434">
        <v>1073400</v>
      </c>
      <c r="R34" s="434">
        <v>0</v>
      </c>
      <c r="S34" s="462">
        <f>Q34+R34</f>
        <v>1073400</v>
      </c>
      <c r="T34" s="437"/>
      <c r="U34" s="541"/>
      <c r="V34" s="540"/>
      <c r="W34" s="621">
        <v>0</v>
      </c>
      <c r="X34" s="615">
        <f t="shared" si="1"/>
        <v>0</v>
      </c>
      <c r="Y34" s="815" t="e">
        <f>F34-W34-#REF!</f>
        <v>#REF!</v>
      </c>
      <c r="Z34" s="626"/>
      <c r="AA34" s="632" t="e">
        <f>#REF!-#REF!</f>
        <v>#REF!</v>
      </c>
      <c r="AB34" s="632"/>
      <c r="AC34" s="875"/>
      <c r="AD34" s="201"/>
      <c r="AE34" s="201"/>
      <c r="AF34" s="201"/>
      <c r="AG34" s="311" t="e">
        <f>X34+Z34+#REF!</f>
        <v>#REF!</v>
      </c>
      <c r="AH34" s="486"/>
    </row>
    <row r="35" spans="1:34" s="213" customFormat="1" ht="72" hidden="1" customHeight="1" x14ac:dyDescent="0.2">
      <c r="A35" s="316"/>
      <c r="B35" s="318" t="s">
        <v>329</v>
      </c>
      <c r="C35" s="318" t="s">
        <v>273</v>
      </c>
      <c r="D35" s="434">
        <v>113400</v>
      </c>
      <c r="E35" s="434">
        <v>0</v>
      </c>
      <c r="F35" s="462">
        <v>113400</v>
      </c>
      <c r="G35" s="435">
        <v>12</v>
      </c>
      <c r="H35" s="435">
        <v>6</v>
      </c>
      <c r="I35" s="435"/>
      <c r="J35" s="435"/>
      <c r="K35" s="435">
        <v>2</v>
      </c>
      <c r="L35" s="435"/>
      <c r="M35" s="436" t="s">
        <v>185</v>
      </c>
      <c r="N35" s="434">
        <v>0</v>
      </c>
      <c r="O35" s="437"/>
      <c r="P35" s="437"/>
      <c r="Q35" s="434">
        <v>113400</v>
      </c>
      <c r="R35" s="434">
        <v>0</v>
      </c>
      <c r="S35" s="462">
        <v>113400</v>
      </c>
      <c r="T35" s="437"/>
      <c r="U35" s="541"/>
      <c r="V35" s="540"/>
      <c r="W35" s="621">
        <v>0</v>
      </c>
      <c r="X35" s="615">
        <f t="shared" si="1"/>
        <v>0</v>
      </c>
      <c r="Y35" s="815" t="e">
        <f>F35-W35-#REF!</f>
        <v>#REF!</v>
      </c>
      <c r="Z35" s="626"/>
      <c r="AA35" s="632" t="e">
        <f>#REF!-#REF!</f>
        <v>#REF!</v>
      </c>
      <c r="AB35" s="632"/>
      <c r="AC35" s="1323" t="s">
        <v>358</v>
      </c>
      <c r="AD35" s="217"/>
      <c r="AE35" s="217"/>
      <c r="AF35" s="217"/>
      <c r="AG35" s="311" t="e">
        <f>X35+Z35+#REF!</f>
        <v>#REF!</v>
      </c>
      <c r="AH35" s="486"/>
    </row>
    <row r="36" spans="1:34" s="213" customFormat="1" ht="42.6" hidden="1" customHeight="1" x14ac:dyDescent="0.2">
      <c r="A36" s="316"/>
      <c r="B36" s="318" t="s">
        <v>330</v>
      </c>
      <c r="C36" s="318" t="s">
        <v>273</v>
      </c>
      <c r="D36" s="434">
        <v>240000</v>
      </c>
      <c r="E36" s="434">
        <v>0</v>
      </c>
      <c r="F36" s="462">
        <v>240000</v>
      </c>
      <c r="G36" s="435">
        <v>12</v>
      </c>
      <c r="H36" s="435"/>
      <c r="I36" s="435"/>
      <c r="J36" s="435"/>
      <c r="K36" s="435">
        <v>2</v>
      </c>
      <c r="L36" s="435"/>
      <c r="M36" s="436" t="s">
        <v>185</v>
      </c>
      <c r="N36" s="434">
        <v>0</v>
      </c>
      <c r="O36" s="437"/>
      <c r="P36" s="437"/>
      <c r="Q36" s="434">
        <v>240000</v>
      </c>
      <c r="R36" s="434">
        <v>0</v>
      </c>
      <c r="S36" s="462">
        <v>240000</v>
      </c>
      <c r="T36" s="437"/>
      <c r="U36" s="541"/>
      <c r="V36" s="540"/>
      <c r="W36" s="621">
        <v>0</v>
      </c>
      <c r="X36" s="615">
        <f t="shared" si="1"/>
        <v>0</v>
      </c>
      <c r="Y36" s="815" t="e">
        <f>F36-W36-#REF!</f>
        <v>#REF!</v>
      </c>
      <c r="Z36" s="626"/>
      <c r="AA36" s="632" t="e">
        <f>#REF!-#REF!</f>
        <v>#REF!</v>
      </c>
      <c r="AB36" s="632"/>
      <c r="AC36" s="1323"/>
      <c r="AD36" s="217"/>
      <c r="AE36" s="217"/>
      <c r="AF36" s="217"/>
      <c r="AG36" s="311" t="e">
        <f>X36+Z36+#REF!</f>
        <v>#REF!</v>
      </c>
      <c r="AH36" s="486"/>
    </row>
    <row r="37" spans="1:34" s="213" customFormat="1" ht="49.5" hidden="1" customHeight="1" x14ac:dyDescent="0.2">
      <c r="A37" s="316"/>
      <c r="B37" s="318" t="s">
        <v>331</v>
      </c>
      <c r="C37" s="318" t="s">
        <v>273</v>
      </c>
      <c r="D37" s="434">
        <v>720000</v>
      </c>
      <c r="E37" s="434">
        <v>0</v>
      </c>
      <c r="F37" s="462">
        <v>720000</v>
      </c>
      <c r="G37" s="435">
        <v>12</v>
      </c>
      <c r="H37" s="435"/>
      <c r="I37" s="435"/>
      <c r="J37" s="435"/>
      <c r="K37" s="435">
        <v>2</v>
      </c>
      <c r="L37" s="435"/>
      <c r="M37" s="436" t="s">
        <v>185</v>
      </c>
      <c r="N37" s="434">
        <v>0</v>
      </c>
      <c r="O37" s="437"/>
      <c r="P37" s="437"/>
      <c r="Q37" s="434">
        <v>720000</v>
      </c>
      <c r="R37" s="434">
        <v>0</v>
      </c>
      <c r="S37" s="462">
        <v>720000</v>
      </c>
      <c r="T37" s="437"/>
      <c r="U37" s="541"/>
      <c r="V37" s="540"/>
      <c r="W37" s="621">
        <v>0</v>
      </c>
      <c r="X37" s="615">
        <f t="shared" si="1"/>
        <v>0</v>
      </c>
      <c r="Y37" s="815" t="e">
        <f>F37-W37-#REF!</f>
        <v>#REF!</v>
      </c>
      <c r="Z37" s="626"/>
      <c r="AA37" s="632" t="e">
        <f>#REF!-#REF!</f>
        <v>#REF!</v>
      </c>
      <c r="AB37" s="632"/>
      <c r="AC37" s="1323"/>
      <c r="AD37" s="217"/>
      <c r="AE37" s="217"/>
      <c r="AF37" s="217"/>
      <c r="AG37" s="311" t="e">
        <f>X37+Z37+#REF!</f>
        <v>#REF!</v>
      </c>
      <c r="AH37" s="486"/>
    </row>
    <row r="38" spans="1:34" s="213" customFormat="1" ht="52.5" hidden="1" customHeight="1" x14ac:dyDescent="0.2">
      <c r="A38" s="316"/>
      <c r="B38" s="318" t="s">
        <v>268</v>
      </c>
      <c r="C38" s="318" t="s">
        <v>338</v>
      </c>
      <c r="D38" s="434">
        <v>3650000</v>
      </c>
      <c r="E38" s="434">
        <v>0</v>
      </c>
      <c r="F38" s="462">
        <f>D38+E38</f>
        <v>3650000</v>
      </c>
      <c r="G38" s="435">
        <v>12</v>
      </c>
      <c r="H38" s="435">
        <v>6</v>
      </c>
      <c r="I38" s="435"/>
      <c r="J38" s="435"/>
      <c r="K38" s="435">
        <v>2</v>
      </c>
      <c r="L38" s="435"/>
      <c r="M38" s="436" t="s">
        <v>185</v>
      </c>
      <c r="N38" s="434">
        <v>0</v>
      </c>
      <c r="O38" s="437"/>
      <c r="P38" s="437"/>
      <c r="Q38" s="434">
        <v>3650000</v>
      </c>
      <c r="R38" s="434">
        <v>0</v>
      </c>
      <c r="S38" s="462">
        <f>Q38+R38</f>
        <v>3650000</v>
      </c>
      <c r="T38" s="437"/>
      <c r="U38" s="541"/>
      <c r="V38" s="540"/>
      <c r="W38" s="621">
        <v>0</v>
      </c>
      <c r="X38" s="615">
        <f t="shared" si="1"/>
        <v>0</v>
      </c>
      <c r="Y38" s="815" t="e">
        <f>F38-W38-#REF!</f>
        <v>#REF!</v>
      </c>
      <c r="Z38" s="626"/>
      <c r="AA38" s="632" t="e">
        <f>#REF!-#REF!</f>
        <v>#REF!</v>
      </c>
      <c r="AB38" s="632"/>
      <c r="AC38" s="875" t="s">
        <v>332</v>
      </c>
      <c r="AD38" s="201"/>
      <c r="AE38" s="201"/>
      <c r="AF38" s="201"/>
      <c r="AG38" s="311" t="e">
        <f>X38+Z38+#REF!</f>
        <v>#REF!</v>
      </c>
      <c r="AH38" s="486"/>
    </row>
    <row r="39" spans="1:34" s="213" customFormat="1" ht="53.25" hidden="1" customHeight="1" x14ac:dyDescent="0.2">
      <c r="A39" s="316"/>
      <c r="B39" s="318" t="s">
        <v>269</v>
      </c>
      <c r="C39" s="318" t="s">
        <v>338</v>
      </c>
      <c r="D39" s="434">
        <v>800000</v>
      </c>
      <c r="E39" s="434">
        <v>0</v>
      </c>
      <c r="F39" s="462">
        <f>D39+E39</f>
        <v>800000</v>
      </c>
      <c r="G39" s="435">
        <v>12</v>
      </c>
      <c r="H39" s="435">
        <v>9</v>
      </c>
      <c r="I39" s="435"/>
      <c r="J39" s="435"/>
      <c r="K39" s="435">
        <v>2</v>
      </c>
      <c r="L39" s="435"/>
      <c r="M39" s="436" t="s">
        <v>185</v>
      </c>
      <c r="N39" s="434">
        <v>0</v>
      </c>
      <c r="O39" s="437"/>
      <c r="P39" s="437"/>
      <c r="Q39" s="434">
        <v>800000</v>
      </c>
      <c r="R39" s="434">
        <v>0</v>
      </c>
      <c r="S39" s="462">
        <f>Q39+R39</f>
        <v>800000</v>
      </c>
      <c r="T39" s="437"/>
      <c r="U39" s="541"/>
      <c r="V39" s="540"/>
      <c r="W39" s="621">
        <v>0</v>
      </c>
      <c r="X39" s="615">
        <f t="shared" si="1"/>
        <v>0</v>
      </c>
      <c r="Y39" s="815" t="e">
        <f>F39-W39-#REF!</f>
        <v>#REF!</v>
      </c>
      <c r="Z39" s="626"/>
      <c r="AA39" s="632" t="e">
        <f>#REF!-#REF!</f>
        <v>#REF!</v>
      </c>
      <c r="AB39" s="632"/>
      <c r="AC39" s="875" t="s">
        <v>361</v>
      </c>
      <c r="AD39" s="201"/>
      <c r="AE39" s="201"/>
      <c r="AF39" s="201"/>
      <c r="AG39" s="311" t="e">
        <f>X39+Z39+#REF!</f>
        <v>#REF!</v>
      </c>
      <c r="AH39" s="486"/>
    </row>
    <row r="40" spans="1:34" s="213" customFormat="1" ht="101.25" hidden="1" x14ac:dyDescent="0.2">
      <c r="A40" s="329">
        <v>9</v>
      </c>
      <c r="B40" s="322" t="s">
        <v>270</v>
      </c>
      <c r="C40" s="322" t="s">
        <v>338</v>
      </c>
      <c r="D40" s="432">
        <f>SUM(D41:D42)</f>
        <v>4984000</v>
      </c>
      <c r="E40" s="432">
        <f>SUM(E41:E42)</f>
        <v>0</v>
      </c>
      <c r="F40" s="461">
        <f>SUM(F41:F42)</f>
        <v>4984000</v>
      </c>
      <c r="G40" s="438"/>
      <c r="H40" s="438"/>
      <c r="I40" s="438"/>
      <c r="J40" s="438"/>
      <c r="K40" s="438"/>
      <c r="L40" s="438"/>
      <c r="M40" s="439"/>
      <c r="N40" s="432">
        <f>SUM(N41:N42)</f>
        <v>0</v>
      </c>
      <c r="O40" s="433"/>
      <c r="P40" s="433"/>
      <c r="Q40" s="432">
        <f>SUM(Q41:Q42)</f>
        <v>4984000</v>
      </c>
      <c r="R40" s="432">
        <f>SUM(R41:R42)</f>
        <v>0</v>
      </c>
      <c r="S40" s="461">
        <f>SUM(S41:S42)</f>
        <v>4984000</v>
      </c>
      <c r="T40" s="433"/>
      <c r="U40" s="446"/>
      <c r="V40" s="430"/>
      <c r="W40" s="620">
        <f>SUM(W41:W42)</f>
        <v>0</v>
      </c>
      <c r="X40" s="615">
        <f t="shared" si="1"/>
        <v>0</v>
      </c>
      <c r="Y40" s="815" t="e">
        <f>F40-W40-#REF!</f>
        <v>#REF!</v>
      </c>
      <c r="Z40" s="627"/>
      <c r="AA40" s="632" t="e">
        <f>#REF!-#REF!</f>
        <v>#REF!</v>
      </c>
      <c r="AB40" s="632"/>
      <c r="AC40" s="877"/>
      <c r="AD40" s="218"/>
      <c r="AE40" s="218"/>
      <c r="AF40" s="218"/>
      <c r="AG40" s="311" t="e">
        <f>X40+Z40+#REF!</f>
        <v>#REF!</v>
      </c>
      <c r="AH40" s="486"/>
    </row>
    <row r="41" spans="1:34" s="213" customFormat="1" ht="45" hidden="1" customHeight="1" x14ac:dyDescent="0.2">
      <c r="A41" s="316"/>
      <c r="B41" s="318" t="s">
        <v>271</v>
      </c>
      <c r="C41" s="318" t="s">
        <v>338</v>
      </c>
      <c r="D41" s="434">
        <v>4300000</v>
      </c>
      <c r="E41" s="434">
        <v>0</v>
      </c>
      <c r="F41" s="462">
        <f>D41+E41</f>
        <v>4300000</v>
      </c>
      <c r="G41" s="435">
        <v>12</v>
      </c>
      <c r="H41" s="435">
        <v>6</v>
      </c>
      <c r="I41" s="435"/>
      <c r="J41" s="435"/>
      <c r="K41" s="435">
        <v>2</v>
      </c>
      <c r="L41" s="435"/>
      <c r="M41" s="436" t="s">
        <v>185</v>
      </c>
      <c r="N41" s="434">
        <v>0</v>
      </c>
      <c r="O41" s="437"/>
      <c r="P41" s="437"/>
      <c r="Q41" s="434">
        <v>4300000</v>
      </c>
      <c r="R41" s="434">
        <v>0</v>
      </c>
      <c r="S41" s="462">
        <f>Q41+R41</f>
        <v>4300000</v>
      </c>
      <c r="T41" s="437"/>
      <c r="U41" s="541"/>
      <c r="V41" s="540"/>
      <c r="W41" s="621">
        <v>0</v>
      </c>
      <c r="X41" s="615">
        <f t="shared" si="1"/>
        <v>0</v>
      </c>
      <c r="Y41" s="815" t="e">
        <f>F41-W41-#REF!</f>
        <v>#REF!</v>
      </c>
      <c r="Z41" s="626"/>
      <c r="AA41" s="632" t="e">
        <f>#REF!-#REF!</f>
        <v>#REF!</v>
      </c>
      <c r="AB41" s="632"/>
      <c r="AC41" s="875" t="s">
        <v>332</v>
      </c>
      <c r="AD41" s="201"/>
      <c r="AE41" s="201"/>
      <c r="AF41" s="201"/>
      <c r="AG41" s="311" t="e">
        <f>X41+Z41+#REF!</f>
        <v>#REF!</v>
      </c>
      <c r="AH41" s="486"/>
    </row>
    <row r="42" spans="1:34" s="213" customFormat="1" ht="101.25" hidden="1" x14ac:dyDescent="0.2">
      <c r="A42" s="316"/>
      <c r="B42" s="318" t="s">
        <v>272</v>
      </c>
      <c r="C42" s="318" t="s">
        <v>338</v>
      </c>
      <c r="D42" s="434">
        <v>684000</v>
      </c>
      <c r="E42" s="434">
        <v>0</v>
      </c>
      <c r="F42" s="462">
        <f>D42+E42</f>
        <v>684000</v>
      </c>
      <c r="G42" s="435">
        <v>12</v>
      </c>
      <c r="H42" s="435">
        <v>9</v>
      </c>
      <c r="I42" s="435"/>
      <c r="J42" s="435"/>
      <c r="K42" s="435">
        <v>2</v>
      </c>
      <c r="L42" s="435"/>
      <c r="M42" s="436" t="s">
        <v>185</v>
      </c>
      <c r="N42" s="434">
        <v>0</v>
      </c>
      <c r="O42" s="437"/>
      <c r="P42" s="437"/>
      <c r="Q42" s="434">
        <v>684000</v>
      </c>
      <c r="R42" s="434">
        <v>0</v>
      </c>
      <c r="S42" s="462">
        <f>Q42+R42</f>
        <v>684000</v>
      </c>
      <c r="T42" s="437"/>
      <c r="U42" s="541"/>
      <c r="V42" s="540"/>
      <c r="W42" s="621">
        <v>0</v>
      </c>
      <c r="X42" s="615">
        <f t="shared" si="1"/>
        <v>0</v>
      </c>
      <c r="Y42" s="815" t="e">
        <f>F42-W42-#REF!</f>
        <v>#REF!</v>
      </c>
      <c r="Z42" s="626"/>
      <c r="AA42" s="632" t="e">
        <f>#REF!-#REF!</f>
        <v>#REF!</v>
      </c>
      <c r="AB42" s="632"/>
      <c r="AC42" s="875" t="s">
        <v>332</v>
      </c>
      <c r="AD42" s="201"/>
      <c r="AE42" s="201"/>
      <c r="AF42" s="201"/>
      <c r="AG42" s="311" t="e">
        <f>X42+Z42+#REF!</f>
        <v>#REF!</v>
      </c>
      <c r="AH42" s="486"/>
    </row>
    <row r="43" spans="1:34" s="213" customFormat="1" ht="168.75" hidden="1" x14ac:dyDescent="0.2">
      <c r="A43" s="329">
        <v>10</v>
      </c>
      <c r="B43" s="322" t="s">
        <v>274</v>
      </c>
      <c r="C43" s="322" t="s">
        <v>277</v>
      </c>
      <c r="D43" s="432">
        <f>D44+D49</f>
        <v>5036000</v>
      </c>
      <c r="E43" s="432">
        <f>E44+E49</f>
        <v>0</v>
      </c>
      <c r="F43" s="461">
        <f>F44+F49</f>
        <v>5036000</v>
      </c>
      <c r="G43" s="438"/>
      <c r="H43" s="438"/>
      <c r="I43" s="438"/>
      <c r="J43" s="438"/>
      <c r="K43" s="438"/>
      <c r="L43" s="438"/>
      <c r="M43" s="439"/>
      <c r="N43" s="432" t="e">
        <f>N44+N49</f>
        <v>#REF!</v>
      </c>
      <c r="O43" s="433"/>
      <c r="P43" s="433"/>
      <c r="Q43" s="432">
        <f>Q44+Q49</f>
        <v>5036000</v>
      </c>
      <c r="R43" s="432">
        <f>R44+R49</f>
        <v>0</v>
      </c>
      <c r="S43" s="461">
        <f>S44+S49</f>
        <v>5036000</v>
      </c>
      <c r="T43" s="433"/>
      <c r="U43" s="446"/>
      <c r="V43" s="430"/>
      <c r="W43" s="620">
        <f>W44+W49</f>
        <v>0</v>
      </c>
      <c r="X43" s="615">
        <f t="shared" si="1"/>
        <v>0</v>
      </c>
      <c r="Y43" s="815" t="e">
        <f>F43-W43-#REF!</f>
        <v>#REF!</v>
      </c>
      <c r="Z43" s="627"/>
      <c r="AA43" s="632" t="e">
        <f>#REF!-#REF!</f>
        <v>#REF!</v>
      </c>
      <c r="AB43" s="632"/>
      <c r="AC43" s="877"/>
      <c r="AD43" s="218"/>
      <c r="AE43" s="218"/>
      <c r="AF43" s="218"/>
      <c r="AG43" s="311" t="e">
        <f>X43+Z43+#REF!</f>
        <v>#REF!</v>
      </c>
      <c r="AH43" s="486"/>
    </row>
    <row r="44" spans="1:34" s="213" customFormat="1" ht="44.25" hidden="1" customHeight="1" x14ac:dyDescent="0.2">
      <c r="A44" s="316"/>
      <c r="B44" s="318" t="s">
        <v>275</v>
      </c>
      <c r="C44" s="318" t="s">
        <v>277</v>
      </c>
      <c r="D44" s="434">
        <v>3886000</v>
      </c>
      <c r="E44" s="434">
        <v>0</v>
      </c>
      <c r="F44" s="462">
        <f t="shared" ref="F44:F53" si="2">D44+E44</f>
        <v>3886000</v>
      </c>
      <c r="G44" s="435"/>
      <c r="H44" s="435"/>
      <c r="I44" s="435"/>
      <c r="J44" s="435"/>
      <c r="K44" s="435"/>
      <c r="L44" s="435"/>
      <c r="M44" s="436"/>
      <c r="N44" s="434" t="e">
        <f>N45+N46+N47+N48</f>
        <v>#REF!</v>
      </c>
      <c r="O44" s="437"/>
      <c r="P44" s="437"/>
      <c r="Q44" s="434">
        <v>3886000</v>
      </c>
      <c r="R44" s="434">
        <v>0</v>
      </c>
      <c r="S44" s="462">
        <f t="shared" ref="S44:S53" si="3">Q44+R44</f>
        <v>3886000</v>
      </c>
      <c r="T44" s="437"/>
      <c r="U44" s="541"/>
      <c r="V44" s="540"/>
      <c r="W44" s="621">
        <f>W45+W46+W47+W48</f>
        <v>0</v>
      </c>
      <c r="X44" s="615">
        <f t="shared" si="1"/>
        <v>0</v>
      </c>
      <c r="Y44" s="815" t="e">
        <f>F44-W44-#REF!</f>
        <v>#REF!</v>
      </c>
      <c r="Z44" s="626"/>
      <c r="AA44" s="632" t="e">
        <f>#REF!-#REF!</f>
        <v>#REF!</v>
      </c>
      <c r="AB44" s="632"/>
      <c r="AC44" s="875"/>
      <c r="AD44" s="201"/>
      <c r="AE44" s="201"/>
      <c r="AF44" s="201"/>
      <c r="AG44" s="311" t="e">
        <f>X44+Z44+#REF!</f>
        <v>#REF!</v>
      </c>
      <c r="AH44" s="486"/>
    </row>
    <row r="45" spans="1:34" s="213" customFormat="1" ht="46.5" hidden="1" customHeight="1" x14ac:dyDescent="0.2">
      <c r="A45" s="316"/>
      <c r="B45" s="318" t="s">
        <v>305</v>
      </c>
      <c r="C45" s="318" t="s">
        <v>277</v>
      </c>
      <c r="D45" s="434">
        <v>486000</v>
      </c>
      <c r="E45" s="434">
        <v>0</v>
      </c>
      <c r="F45" s="462">
        <f t="shared" si="2"/>
        <v>486000</v>
      </c>
      <c r="G45" s="435">
        <v>5</v>
      </c>
      <c r="H45" s="435">
        <v>6</v>
      </c>
      <c r="I45" s="435"/>
      <c r="J45" s="435"/>
      <c r="K45" s="435">
        <v>2</v>
      </c>
      <c r="L45" s="435"/>
      <c r="M45" s="436" t="s">
        <v>185</v>
      </c>
      <c r="N45" s="434">
        <v>0</v>
      </c>
      <c r="O45" s="437"/>
      <c r="P45" s="437"/>
      <c r="Q45" s="434">
        <v>486000</v>
      </c>
      <c r="R45" s="434">
        <v>0</v>
      </c>
      <c r="S45" s="462">
        <f t="shared" si="3"/>
        <v>486000</v>
      </c>
      <c r="T45" s="437"/>
      <c r="U45" s="541"/>
      <c r="V45" s="540"/>
      <c r="W45" s="621">
        <v>0</v>
      </c>
      <c r="X45" s="615">
        <f t="shared" si="1"/>
        <v>0</v>
      </c>
      <c r="Y45" s="815" t="e">
        <f>F45-W45-#REF!</f>
        <v>#REF!</v>
      </c>
      <c r="Z45" s="626"/>
      <c r="AA45" s="632" t="e">
        <f>#REF!-#REF!</f>
        <v>#REF!</v>
      </c>
      <c r="AB45" s="632"/>
      <c r="AC45" s="875" t="s">
        <v>324</v>
      </c>
      <c r="AD45" s="201"/>
      <c r="AE45" s="201"/>
      <c r="AF45" s="201"/>
      <c r="AG45" s="311" t="e">
        <f>X45+Z45+#REF!</f>
        <v>#REF!</v>
      </c>
      <c r="AH45" s="486"/>
    </row>
    <row r="46" spans="1:34" s="213" customFormat="1" ht="55.5" hidden="1" customHeight="1" x14ac:dyDescent="0.2">
      <c r="A46" s="316"/>
      <c r="B46" s="318" t="s">
        <v>306</v>
      </c>
      <c r="C46" s="318" t="s">
        <v>277</v>
      </c>
      <c r="D46" s="434">
        <v>400000</v>
      </c>
      <c r="E46" s="434">
        <v>0</v>
      </c>
      <c r="F46" s="462">
        <f t="shared" si="2"/>
        <v>400000</v>
      </c>
      <c r="G46" s="435">
        <v>5</v>
      </c>
      <c r="H46" s="435">
        <v>8</v>
      </c>
      <c r="I46" s="435"/>
      <c r="J46" s="435"/>
      <c r="K46" s="435">
        <v>2</v>
      </c>
      <c r="L46" s="435"/>
      <c r="M46" s="436" t="s">
        <v>185</v>
      </c>
      <c r="N46" s="434">
        <v>0</v>
      </c>
      <c r="O46" s="437"/>
      <c r="P46" s="437"/>
      <c r="Q46" s="434">
        <v>400000</v>
      </c>
      <c r="R46" s="434">
        <v>0</v>
      </c>
      <c r="S46" s="462">
        <f t="shared" si="3"/>
        <v>400000</v>
      </c>
      <c r="T46" s="437"/>
      <c r="U46" s="541"/>
      <c r="V46" s="540"/>
      <c r="W46" s="621">
        <v>0</v>
      </c>
      <c r="X46" s="615">
        <f t="shared" si="1"/>
        <v>0</v>
      </c>
      <c r="Y46" s="815" t="e">
        <f>F46-W46-#REF!</f>
        <v>#REF!</v>
      </c>
      <c r="Z46" s="626"/>
      <c r="AA46" s="632" t="e">
        <f>#REF!-#REF!</f>
        <v>#REF!</v>
      </c>
      <c r="AB46" s="632"/>
      <c r="AC46" s="875" t="s">
        <v>326</v>
      </c>
      <c r="AD46" s="201"/>
      <c r="AE46" s="201"/>
      <c r="AF46" s="201"/>
      <c r="AG46" s="311" t="e">
        <f>X46+Z46+#REF!</f>
        <v>#REF!</v>
      </c>
      <c r="AH46" s="486"/>
    </row>
    <row r="47" spans="1:34" s="213" customFormat="1" ht="56.25" hidden="1" customHeight="1" x14ac:dyDescent="0.2">
      <c r="A47" s="316"/>
      <c r="B47" s="318" t="s">
        <v>307</v>
      </c>
      <c r="C47" s="318" t="s">
        <v>277</v>
      </c>
      <c r="D47" s="434">
        <v>2500000</v>
      </c>
      <c r="E47" s="434">
        <v>0</v>
      </c>
      <c r="F47" s="462">
        <f t="shared" si="2"/>
        <v>2500000</v>
      </c>
      <c r="G47" s="435">
        <v>11</v>
      </c>
      <c r="H47" s="435">
        <v>12</v>
      </c>
      <c r="I47" s="435"/>
      <c r="J47" s="435"/>
      <c r="K47" s="435">
        <v>2</v>
      </c>
      <c r="L47" s="435"/>
      <c r="M47" s="436" t="s">
        <v>185</v>
      </c>
      <c r="N47" s="434" t="e">
        <f>F47-#REF!</f>
        <v>#REF!</v>
      </c>
      <c r="O47" s="437"/>
      <c r="P47" s="437"/>
      <c r="Q47" s="434">
        <v>2500000</v>
      </c>
      <c r="R47" s="434">
        <v>0</v>
      </c>
      <c r="S47" s="462">
        <f t="shared" si="3"/>
        <v>2500000</v>
      </c>
      <c r="T47" s="437"/>
      <c r="U47" s="541"/>
      <c r="V47" s="540"/>
      <c r="W47" s="621">
        <v>0</v>
      </c>
      <c r="X47" s="615">
        <f t="shared" si="1"/>
        <v>0</v>
      </c>
      <c r="Y47" s="815" t="e">
        <f>F47-W47-#REF!</f>
        <v>#REF!</v>
      </c>
      <c r="Z47" s="626"/>
      <c r="AA47" s="632" t="e">
        <f>#REF!-#REF!</f>
        <v>#REF!</v>
      </c>
      <c r="AB47" s="632"/>
      <c r="AC47" s="875" t="s">
        <v>384</v>
      </c>
      <c r="AD47" s="201"/>
      <c r="AE47" s="201"/>
      <c r="AF47" s="201"/>
      <c r="AG47" s="311" t="e">
        <f>X47+Z47+#REF!</f>
        <v>#REF!</v>
      </c>
      <c r="AH47" s="486"/>
    </row>
    <row r="48" spans="1:34" s="213" customFormat="1" ht="54.75" hidden="1" customHeight="1" x14ac:dyDescent="0.2">
      <c r="A48" s="316"/>
      <c r="B48" s="318" t="s">
        <v>308</v>
      </c>
      <c r="C48" s="318" t="s">
        <v>277</v>
      </c>
      <c r="D48" s="434">
        <v>500000</v>
      </c>
      <c r="E48" s="434">
        <v>0</v>
      </c>
      <c r="F48" s="462">
        <f t="shared" si="2"/>
        <v>500000</v>
      </c>
      <c r="G48" s="435">
        <v>2</v>
      </c>
      <c r="H48" s="435">
        <v>3</v>
      </c>
      <c r="I48" s="435"/>
      <c r="J48" s="435"/>
      <c r="K48" s="435">
        <v>2</v>
      </c>
      <c r="L48" s="435"/>
      <c r="M48" s="436" t="s">
        <v>185</v>
      </c>
      <c r="N48" s="434">
        <v>0</v>
      </c>
      <c r="O48" s="437"/>
      <c r="P48" s="437"/>
      <c r="Q48" s="434">
        <v>500000</v>
      </c>
      <c r="R48" s="434">
        <v>0</v>
      </c>
      <c r="S48" s="462">
        <f t="shared" si="3"/>
        <v>500000</v>
      </c>
      <c r="T48" s="437"/>
      <c r="U48" s="541"/>
      <c r="V48" s="540"/>
      <c r="W48" s="621">
        <v>0</v>
      </c>
      <c r="X48" s="615">
        <f t="shared" si="1"/>
        <v>0</v>
      </c>
      <c r="Y48" s="815" t="e">
        <f>F48-W48-#REF!</f>
        <v>#REF!</v>
      </c>
      <c r="Z48" s="626"/>
      <c r="AA48" s="632" t="e">
        <f>#REF!-#REF!</f>
        <v>#REF!</v>
      </c>
      <c r="AB48" s="632"/>
      <c r="AC48" s="875" t="s">
        <v>385</v>
      </c>
      <c r="AD48" s="201"/>
      <c r="AE48" s="201"/>
      <c r="AF48" s="201"/>
      <c r="AG48" s="311" t="e">
        <f>X48+Z48+#REF!</f>
        <v>#REF!</v>
      </c>
      <c r="AH48" s="486"/>
    </row>
    <row r="49" spans="1:40" s="213" customFormat="1" ht="52.5" hidden="1" customHeight="1" x14ac:dyDescent="0.2">
      <c r="A49" s="316"/>
      <c r="B49" s="318" t="s">
        <v>276</v>
      </c>
      <c r="C49" s="318" t="s">
        <v>277</v>
      </c>
      <c r="D49" s="434">
        <v>1150000</v>
      </c>
      <c r="E49" s="434">
        <v>0</v>
      </c>
      <c r="F49" s="462">
        <f t="shared" si="2"/>
        <v>1150000</v>
      </c>
      <c r="G49" s="435"/>
      <c r="H49" s="435"/>
      <c r="I49" s="435"/>
      <c r="J49" s="435"/>
      <c r="K49" s="435"/>
      <c r="L49" s="435"/>
      <c r="M49" s="436"/>
      <c r="N49" s="434">
        <f>N50+N51+N52+N53</f>
        <v>0</v>
      </c>
      <c r="O49" s="437"/>
      <c r="P49" s="437"/>
      <c r="Q49" s="434">
        <v>1150000</v>
      </c>
      <c r="R49" s="434">
        <v>0</v>
      </c>
      <c r="S49" s="462">
        <f t="shared" si="3"/>
        <v>1150000</v>
      </c>
      <c r="T49" s="437"/>
      <c r="U49" s="541"/>
      <c r="V49" s="540"/>
      <c r="W49" s="621">
        <f>W50+W51+W52+W53</f>
        <v>0</v>
      </c>
      <c r="X49" s="615">
        <f t="shared" si="1"/>
        <v>0</v>
      </c>
      <c r="Y49" s="815" t="e">
        <f>F49-W49-#REF!</f>
        <v>#REF!</v>
      </c>
      <c r="Z49" s="626"/>
      <c r="AA49" s="632" t="e">
        <f>#REF!-#REF!</f>
        <v>#REF!</v>
      </c>
      <c r="AB49" s="632"/>
      <c r="AC49" s="875"/>
      <c r="AD49" s="201"/>
      <c r="AE49" s="201"/>
      <c r="AF49" s="201"/>
      <c r="AG49" s="311" t="e">
        <f>X49+Z49+#REF!</f>
        <v>#REF!</v>
      </c>
      <c r="AH49" s="486"/>
    </row>
    <row r="50" spans="1:40" s="213" customFormat="1" ht="39.6" hidden="1" customHeight="1" x14ac:dyDescent="0.2">
      <c r="A50" s="316"/>
      <c r="B50" s="318" t="s">
        <v>309</v>
      </c>
      <c r="C50" s="318" t="s">
        <v>277</v>
      </c>
      <c r="D50" s="434">
        <v>220000</v>
      </c>
      <c r="E50" s="434">
        <v>0</v>
      </c>
      <c r="F50" s="462">
        <f t="shared" si="2"/>
        <v>220000</v>
      </c>
      <c r="G50" s="435">
        <v>10</v>
      </c>
      <c r="H50" s="435">
        <v>12</v>
      </c>
      <c r="I50" s="435"/>
      <c r="J50" s="435"/>
      <c r="K50" s="435">
        <v>2</v>
      </c>
      <c r="L50" s="435"/>
      <c r="M50" s="436" t="s">
        <v>185</v>
      </c>
      <c r="N50" s="434">
        <v>0</v>
      </c>
      <c r="O50" s="437"/>
      <c r="P50" s="437"/>
      <c r="Q50" s="434">
        <v>220000</v>
      </c>
      <c r="R50" s="434">
        <v>0</v>
      </c>
      <c r="S50" s="462">
        <f t="shared" si="3"/>
        <v>220000</v>
      </c>
      <c r="T50" s="437"/>
      <c r="U50" s="541"/>
      <c r="V50" s="540"/>
      <c r="W50" s="621">
        <v>0</v>
      </c>
      <c r="X50" s="615">
        <f t="shared" si="1"/>
        <v>0</v>
      </c>
      <c r="Y50" s="815" t="e">
        <f>F50-W50-#REF!</f>
        <v>#REF!</v>
      </c>
      <c r="Z50" s="626"/>
      <c r="AA50" s="632" t="e">
        <f>#REF!-#REF!</f>
        <v>#REF!</v>
      </c>
      <c r="AB50" s="632"/>
      <c r="AC50" s="875" t="s">
        <v>312</v>
      </c>
      <c r="AD50" s="201"/>
      <c r="AE50" s="201"/>
      <c r="AF50" s="201"/>
      <c r="AG50" s="311" t="e">
        <f>X50+Z50+#REF!</f>
        <v>#REF!</v>
      </c>
      <c r="AH50" s="486"/>
    </row>
    <row r="51" spans="1:40" s="213" customFormat="1" ht="45" hidden="1" customHeight="1" x14ac:dyDescent="0.2">
      <c r="A51" s="316"/>
      <c r="B51" s="318" t="s">
        <v>323</v>
      </c>
      <c r="C51" s="318" t="s">
        <v>277</v>
      </c>
      <c r="D51" s="434">
        <v>440000</v>
      </c>
      <c r="E51" s="434">
        <v>0</v>
      </c>
      <c r="F51" s="462">
        <f t="shared" si="2"/>
        <v>440000</v>
      </c>
      <c r="G51" s="435">
        <v>1</v>
      </c>
      <c r="H51" s="435">
        <v>3</v>
      </c>
      <c r="I51" s="435"/>
      <c r="J51" s="435"/>
      <c r="K51" s="435">
        <v>2</v>
      </c>
      <c r="L51" s="435"/>
      <c r="M51" s="436" t="s">
        <v>185</v>
      </c>
      <c r="N51" s="434">
        <v>0</v>
      </c>
      <c r="O51" s="437"/>
      <c r="P51" s="437"/>
      <c r="Q51" s="434">
        <v>440000</v>
      </c>
      <c r="R51" s="434">
        <v>0</v>
      </c>
      <c r="S51" s="462">
        <f t="shared" si="3"/>
        <v>440000</v>
      </c>
      <c r="T51" s="437"/>
      <c r="U51" s="541"/>
      <c r="V51" s="540"/>
      <c r="W51" s="621">
        <v>0</v>
      </c>
      <c r="X51" s="615">
        <f t="shared" si="1"/>
        <v>0</v>
      </c>
      <c r="Y51" s="815" t="e">
        <f>F51-W51-#REF!</f>
        <v>#REF!</v>
      </c>
      <c r="Z51" s="626"/>
      <c r="AA51" s="632" t="e">
        <f>#REF!-#REF!</f>
        <v>#REF!</v>
      </c>
      <c r="AB51" s="632"/>
      <c r="AC51" s="875" t="s">
        <v>312</v>
      </c>
      <c r="AD51" s="201"/>
      <c r="AE51" s="201"/>
      <c r="AF51" s="201"/>
      <c r="AG51" s="311" t="e">
        <f>X51+Z51+#REF!</f>
        <v>#REF!</v>
      </c>
      <c r="AH51" s="486"/>
    </row>
    <row r="52" spans="1:40" s="213" customFormat="1" ht="54" hidden="1" customHeight="1" x14ac:dyDescent="0.2">
      <c r="A52" s="316"/>
      <c r="B52" s="318" t="s">
        <v>310</v>
      </c>
      <c r="C52" s="318" t="s">
        <v>277</v>
      </c>
      <c r="D52" s="434">
        <v>330000</v>
      </c>
      <c r="E52" s="434">
        <v>0</v>
      </c>
      <c r="F52" s="462">
        <f t="shared" si="2"/>
        <v>330000</v>
      </c>
      <c r="G52" s="435">
        <v>4</v>
      </c>
      <c r="H52" s="435">
        <v>6</v>
      </c>
      <c r="I52" s="435"/>
      <c r="J52" s="435"/>
      <c r="K52" s="435">
        <v>2</v>
      </c>
      <c r="L52" s="435"/>
      <c r="M52" s="436" t="s">
        <v>185</v>
      </c>
      <c r="N52" s="434">
        <v>0</v>
      </c>
      <c r="O52" s="437"/>
      <c r="P52" s="437"/>
      <c r="Q52" s="434">
        <v>330000</v>
      </c>
      <c r="R52" s="434">
        <v>0</v>
      </c>
      <c r="S52" s="462">
        <f t="shared" si="3"/>
        <v>330000</v>
      </c>
      <c r="T52" s="437"/>
      <c r="U52" s="541"/>
      <c r="V52" s="540"/>
      <c r="W52" s="621">
        <v>0</v>
      </c>
      <c r="X52" s="615">
        <f t="shared" si="1"/>
        <v>0</v>
      </c>
      <c r="Y52" s="815" t="e">
        <f>F52-W52-#REF!</f>
        <v>#REF!</v>
      </c>
      <c r="Z52" s="626"/>
      <c r="AA52" s="632" t="e">
        <f>#REF!-#REF!</f>
        <v>#REF!</v>
      </c>
      <c r="AB52" s="632"/>
      <c r="AC52" s="875" t="s">
        <v>312</v>
      </c>
      <c r="AD52" s="201"/>
      <c r="AE52" s="201"/>
      <c r="AF52" s="201"/>
      <c r="AG52" s="311" t="e">
        <f>X52+Z52+#REF!</f>
        <v>#REF!</v>
      </c>
      <c r="AH52" s="486"/>
    </row>
    <row r="53" spans="1:40" s="213" customFormat="1" ht="39" hidden="1" customHeight="1" x14ac:dyDescent="0.2">
      <c r="A53" s="316"/>
      <c r="B53" s="318" t="s">
        <v>311</v>
      </c>
      <c r="C53" s="318" t="s">
        <v>277</v>
      </c>
      <c r="D53" s="434">
        <v>160000</v>
      </c>
      <c r="E53" s="434">
        <v>0</v>
      </c>
      <c r="F53" s="462">
        <f t="shared" si="2"/>
        <v>160000</v>
      </c>
      <c r="G53" s="435">
        <v>1</v>
      </c>
      <c r="H53" s="435">
        <v>3</v>
      </c>
      <c r="I53" s="435"/>
      <c r="J53" s="435"/>
      <c r="K53" s="435">
        <v>2</v>
      </c>
      <c r="L53" s="435"/>
      <c r="M53" s="436" t="s">
        <v>185</v>
      </c>
      <c r="N53" s="434">
        <v>0</v>
      </c>
      <c r="O53" s="437"/>
      <c r="P53" s="437"/>
      <c r="Q53" s="434">
        <v>160000</v>
      </c>
      <c r="R53" s="434">
        <v>0</v>
      </c>
      <c r="S53" s="462">
        <f t="shared" si="3"/>
        <v>160000</v>
      </c>
      <c r="T53" s="437"/>
      <c r="U53" s="541"/>
      <c r="V53" s="540"/>
      <c r="W53" s="621">
        <v>0</v>
      </c>
      <c r="X53" s="615">
        <f t="shared" si="1"/>
        <v>0</v>
      </c>
      <c r="Y53" s="815" t="e">
        <f>F53-W53-#REF!</f>
        <v>#REF!</v>
      </c>
      <c r="Z53" s="626"/>
      <c r="AA53" s="632" t="e">
        <f>#REF!-#REF!</f>
        <v>#REF!</v>
      </c>
      <c r="AB53" s="632"/>
      <c r="AC53" s="875" t="s">
        <v>312</v>
      </c>
      <c r="AD53" s="201"/>
      <c r="AE53" s="201"/>
      <c r="AF53" s="201"/>
      <c r="AG53" s="311" t="e">
        <f>X53+Z53+#REF!</f>
        <v>#REF!</v>
      </c>
      <c r="AH53" s="486"/>
    </row>
    <row r="54" spans="1:40" s="213" customFormat="1" ht="135" hidden="1" x14ac:dyDescent="0.2">
      <c r="A54" s="329">
        <v>11</v>
      </c>
      <c r="B54" s="322" t="s">
        <v>278</v>
      </c>
      <c r="C54" s="322" t="s">
        <v>279</v>
      </c>
      <c r="D54" s="432">
        <f>SUM(D55:D55)</f>
        <v>0</v>
      </c>
      <c r="E54" s="432">
        <f>SUM(E55:E55)</f>
        <v>42000000</v>
      </c>
      <c r="F54" s="461">
        <f>SUM(F55:F55)</f>
        <v>42000000</v>
      </c>
      <c r="G54" s="438"/>
      <c r="H54" s="438"/>
      <c r="I54" s="438"/>
      <c r="J54" s="438"/>
      <c r="K54" s="438"/>
      <c r="L54" s="438"/>
      <c r="M54" s="439"/>
      <c r="N54" s="432">
        <f>SUM(N55:N55)</f>
        <v>0</v>
      </c>
      <c r="O54" s="433"/>
      <c r="P54" s="433"/>
      <c r="Q54" s="432">
        <f>SUM(Q55:Q55)</f>
        <v>0</v>
      </c>
      <c r="R54" s="432">
        <f>SUM(R55:R55)</f>
        <v>42000000</v>
      </c>
      <c r="S54" s="461">
        <f>SUM(S55:S55)</f>
        <v>42000000</v>
      </c>
      <c r="T54" s="433"/>
      <c r="U54" s="446"/>
      <c r="V54" s="430"/>
      <c r="W54" s="620">
        <f>SUM(W55:W55)</f>
        <v>0</v>
      </c>
      <c r="X54" s="615">
        <f t="shared" si="1"/>
        <v>0</v>
      </c>
      <c r="Y54" s="815" t="e">
        <f>F54-W54-#REF!</f>
        <v>#REF!</v>
      </c>
      <c r="Z54" s="627"/>
      <c r="AA54" s="632" t="e">
        <f>#REF!-#REF!</f>
        <v>#REF!</v>
      </c>
      <c r="AB54" s="632"/>
      <c r="AC54" s="877"/>
      <c r="AD54" s="218"/>
      <c r="AE54" s="218"/>
      <c r="AF54" s="218"/>
      <c r="AG54" s="311" t="e">
        <f>X54+Z54+#REF!</f>
        <v>#REF!</v>
      </c>
      <c r="AH54" s="486"/>
    </row>
    <row r="55" spans="1:40" s="213" customFormat="1" ht="62.25" hidden="1" customHeight="1" x14ac:dyDescent="0.2">
      <c r="A55" s="316"/>
      <c r="B55" s="318" t="s">
        <v>280</v>
      </c>
      <c r="C55" s="318" t="s">
        <v>279</v>
      </c>
      <c r="D55" s="434">
        <v>0</v>
      </c>
      <c r="E55" s="434">
        <v>42000000</v>
      </c>
      <c r="F55" s="462">
        <f>D55+E55</f>
        <v>42000000</v>
      </c>
      <c r="G55" s="435"/>
      <c r="H55" s="435"/>
      <c r="I55" s="435"/>
      <c r="J55" s="435"/>
      <c r="K55" s="435"/>
      <c r="L55" s="435"/>
      <c r="M55" s="436"/>
      <c r="N55" s="434">
        <v>0</v>
      </c>
      <c r="O55" s="437"/>
      <c r="P55" s="437"/>
      <c r="Q55" s="434">
        <v>0</v>
      </c>
      <c r="R55" s="434">
        <v>42000000</v>
      </c>
      <c r="S55" s="462">
        <f>Q55+R55</f>
        <v>42000000</v>
      </c>
      <c r="T55" s="437"/>
      <c r="U55" s="541"/>
      <c r="V55" s="540"/>
      <c r="W55" s="621">
        <v>0</v>
      </c>
      <c r="X55" s="615">
        <f t="shared" si="1"/>
        <v>0</v>
      </c>
      <c r="Y55" s="815" t="e">
        <f>F55-W55-#REF!</f>
        <v>#REF!</v>
      </c>
      <c r="Z55" s="626"/>
      <c r="AA55" s="632" t="e">
        <f>#REF!-#REF!</f>
        <v>#REF!</v>
      </c>
      <c r="AB55" s="632"/>
      <c r="AC55" s="875" t="s">
        <v>390</v>
      </c>
      <c r="AD55" s="201"/>
      <c r="AE55" s="201"/>
      <c r="AF55" s="201"/>
      <c r="AG55" s="311" t="e">
        <f>X55+Z55+#REF!</f>
        <v>#REF!</v>
      </c>
      <c r="AH55" s="486"/>
    </row>
    <row r="56" spans="1:40" s="213" customFormat="1" ht="73.5" hidden="1" customHeight="1" x14ac:dyDescent="0.2">
      <c r="A56" s="329">
        <v>12</v>
      </c>
      <c r="B56" s="322" t="s">
        <v>362</v>
      </c>
      <c r="C56" s="322" t="s">
        <v>279</v>
      </c>
      <c r="D56" s="432">
        <v>0</v>
      </c>
      <c r="E56" s="432">
        <f>SUM(E57:E58)</f>
        <v>25000000</v>
      </c>
      <c r="F56" s="461">
        <f>F57</f>
        <v>25000000</v>
      </c>
      <c r="G56" s="438"/>
      <c r="H56" s="438"/>
      <c r="I56" s="438"/>
      <c r="J56" s="438"/>
      <c r="K56" s="438"/>
      <c r="L56" s="438"/>
      <c r="M56" s="439"/>
      <c r="N56" s="432">
        <v>0</v>
      </c>
      <c r="O56" s="433"/>
      <c r="P56" s="433"/>
      <c r="Q56" s="432">
        <v>0</v>
      </c>
      <c r="R56" s="432">
        <f>SUM(R57:R58)</f>
        <v>25000000</v>
      </c>
      <c r="S56" s="461">
        <f>S57</f>
        <v>25000000</v>
      </c>
      <c r="T56" s="433"/>
      <c r="U56" s="446"/>
      <c r="V56" s="430"/>
      <c r="W56" s="620">
        <v>0</v>
      </c>
      <c r="X56" s="615">
        <f t="shared" si="1"/>
        <v>0</v>
      </c>
      <c r="Y56" s="815" t="e">
        <f>F56-W56-#REF!</f>
        <v>#REF!</v>
      </c>
      <c r="Z56" s="627"/>
      <c r="AA56" s="632" t="e">
        <f>#REF!-#REF!</f>
        <v>#REF!</v>
      </c>
      <c r="AB56" s="632"/>
      <c r="AC56" s="877"/>
      <c r="AD56" s="218"/>
      <c r="AE56" s="218"/>
      <c r="AF56" s="218"/>
      <c r="AG56" s="311" t="e">
        <f>X56+Z56+#REF!</f>
        <v>#REF!</v>
      </c>
      <c r="AH56" s="486"/>
    </row>
    <row r="57" spans="1:40" s="213" customFormat="1" ht="1.9" hidden="1" customHeight="1" x14ac:dyDescent="0.2">
      <c r="A57" s="316"/>
      <c r="B57" s="318" t="s">
        <v>419</v>
      </c>
      <c r="C57" s="318" t="s">
        <v>279</v>
      </c>
      <c r="D57" s="434">
        <v>0</v>
      </c>
      <c r="E57" s="434">
        <v>25000000</v>
      </c>
      <c r="F57" s="462">
        <f>D57+E57</f>
        <v>25000000</v>
      </c>
      <c r="G57" s="435"/>
      <c r="H57" s="435"/>
      <c r="I57" s="435"/>
      <c r="J57" s="435"/>
      <c r="K57" s="435"/>
      <c r="L57" s="435"/>
      <c r="M57" s="436"/>
      <c r="N57" s="434">
        <v>0</v>
      </c>
      <c r="O57" s="437"/>
      <c r="P57" s="437"/>
      <c r="Q57" s="434">
        <v>0</v>
      </c>
      <c r="R57" s="434">
        <v>25000000</v>
      </c>
      <c r="S57" s="462">
        <f>Q57+R57</f>
        <v>25000000</v>
      </c>
      <c r="T57" s="437"/>
      <c r="U57" s="541"/>
      <c r="V57" s="540"/>
      <c r="W57" s="621">
        <v>0</v>
      </c>
      <c r="X57" s="615">
        <f t="shared" si="1"/>
        <v>0</v>
      </c>
      <c r="Y57" s="815" t="e">
        <f>F57-W57-#REF!</f>
        <v>#REF!</v>
      </c>
      <c r="Z57" s="626"/>
      <c r="AA57" s="632" t="e">
        <f>#REF!-#REF!</f>
        <v>#REF!</v>
      </c>
      <c r="AB57" s="632"/>
      <c r="AC57" s="875" t="s">
        <v>391</v>
      </c>
      <c r="AD57" s="201"/>
      <c r="AE57" s="201"/>
      <c r="AF57" s="201"/>
      <c r="AG57" s="311" t="e">
        <f>X57+Z57+#REF!</f>
        <v>#REF!</v>
      </c>
      <c r="AH57" s="486"/>
    </row>
    <row r="58" spans="1:40" s="333" customFormat="1" ht="82.9" customHeight="1" x14ac:dyDescent="0.2">
      <c r="A58" s="330"/>
      <c r="B58" s="570" t="s">
        <v>524</v>
      </c>
      <c r="C58" s="331"/>
      <c r="D58" s="440">
        <f>D59+D60+D64</f>
        <v>14774600</v>
      </c>
      <c r="E58" s="441">
        <f>E59+E60+E64</f>
        <v>0</v>
      </c>
      <c r="F58" s="463">
        <f>F59+F60+F64</f>
        <v>14774600</v>
      </c>
      <c r="G58" s="440"/>
      <c r="H58" s="440"/>
      <c r="I58" s="440"/>
      <c r="J58" s="440"/>
      <c r="K58" s="440"/>
      <c r="L58" s="440"/>
      <c r="M58" s="440"/>
      <c r="N58" s="440">
        <v>90000</v>
      </c>
      <c r="O58" s="441">
        <f>N58/F58*100</f>
        <v>0.60915354730415716</v>
      </c>
      <c r="P58" s="441">
        <v>0</v>
      </c>
      <c r="Q58" s="440">
        <v>14444400</v>
      </c>
      <c r="R58" s="441">
        <f>R59+R60+R64</f>
        <v>0</v>
      </c>
      <c r="S58" s="463">
        <f>Q58+R58</f>
        <v>14444400</v>
      </c>
      <c r="T58" s="441">
        <f>9000+6153431.17+4372041.04</f>
        <v>10534472.210000001</v>
      </c>
      <c r="U58" s="537">
        <f>W58+937000</f>
        <v>14422683.08</v>
      </c>
      <c r="V58" s="538">
        <f>U58/S58*100</f>
        <v>99.84965162969732</v>
      </c>
      <c r="W58" s="918">
        <v>13485683.08</v>
      </c>
      <c r="X58" s="615">
        <f>W58/S58*100</f>
        <v>93.362708592949517</v>
      </c>
      <c r="Y58" s="815">
        <f>S58-W58-AA58</f>
        <v>936999.99999999988</v>
      </c>
      <c r="Z58" s="624">
        <f>Y58/F58*100</f>
        <v>6.3419652647110585</v>
      </c>
      <c r="AA58" s="632">
        <v>21716.92</v>
      </c>
      <c r="AB58" s="632">
        <f>AA58/S58*100</f>
        <v>0.15034837030267784</v>
      </c>
      <c r="AC58" s="920">
        <f>W58+Y58+AA58</f>
        <v>14444400</v>
      </c>
      <c r="AD58" s="332"/>
      <c r="AE58" s="332"/>
      <c r="AF58" s="332"/>
      <c r="AG58" s="311" t="e">
        <f>X58+Z58+#REF!</f>
        <v>#REF!</v>
      </c>
      <c r="AH58" s="488">
        <v>6391646.46</v>
      </c>
      <c r="AI58" s="495">
        <f>W58-AH58</f>
        <v>7094036.6200000001</v>
      </c>
      <c r="AN58" s="593" t="e">
        <f>AL32-AN32</f>
        <v>#REF!</v>
      </c>
    </row>
    <row r="59" spans="1:40" s="213" customFormat="1" ht="31.5" hidden="1" customHeight="1" x14ac:dyDescent="0.2">
      <c r="A59" s="325"/>
      <c r="B59" s="326" t="s">
        <v>138</v>
      </c>
      <c r="C59" s="327"/>
      <c r="D59" s="442">
        <v>9000000</v>
      </c>
      <c r="E59" s="442">
        <v>0</v>
      </c>
      <c r="F59" s="442">
        <v>9000000</v>
      </c>
      <c r="G59" s="443"/>
      <c r="H59" s="443"/>
      <c r="I59" s="443"/>
      <c r="J59" s="443"/>
      <c r="K59" s="443"/>
      <c r="L59" s="443"/>
      <c r="M59" s="443"/>
      <c r="N59" s="444">
        <f>W59+45000</f>
        <v>943656.17</v>
      </c>
      <c r="O59" s="445"/>
      <c r="P59" s="445"/>
      <c r="Q59" s="442">
        <v>9000000</v>
      </c>
      <c r="R59" s="442">
        <v>0</v>
      </c>
      <c r="S59" s="442">
        <v>9000000</v>
      </c>
      <c r="T59" s="445"/>
      <c r="U59" s="542"/>
      <c r="V59" s="542"/>
      <c r="W59" s="622">
        <v>898656.17</v>
      </c>
      <c r="X59" s="615">
        <f t="shared" si="1"/>
        <v>9.9850685555555554</v>
      </c>
      <c r="Y59" s="815" t="e">
        <f>F59-W59-#REF!</f>
        <v>#REF!</v>
      </c>
      <c r="Z59" s="628"/>
      <c r="AA59" s="632" t="e">
        <f>#REF!-#REF!</f>
        <v>#REF!</v>
      </c>
      <c r="AB59" s="632"/>
      <c r="AC59" s="466">
        <f>W60+W64</f>
        <v>596200</v>
      </c>
      <c r="AD59" s="215"/>
      <c r="AE59" s="215"/>
      <c r="AF59" s="215"/>
      <c r="AG59" s="311" t="e">
        <f>X59+Z59+#REF!</f>
        <v>#REF!</v>
      </c>
      <c r="AH59" s="486"/>
    </row>
    <row r="60" spans="1:40" s="213" customFormat="1" ht="22.5" hidden="1" customHeight="1" x14ac:dyDescent="0.2">
      <c r="A60" s="334">
        <v>13</v>
      </c>
      <c r="B60" s="335" t="s">
        <v>282</v>
      </c>
      <c r="C60" s="335" t="s">
        <v>320</v>
      </c>
      <c r="D60" s="446">
        <f>SUM(D61:D61)</f>
        <v>1741100</v>
      </c>
      <c r="E60" s="446">
        <f>SUM(E61:E61)</f>
        <v>0</v>
      </c>
      <c r="F60" s="446">
        <f>SUM(F61:F61)</f>
        <v>1741100</v>
      </c>
      <c r="G60" s="447"/>
      <c r="H60" s="447"/>
      <c r="I60" s="447"/>
      <c r="J60" s="447"/>
      <c r="K60" s="447"/>
      <c r="L60" s="447"/>
      <c r="M60" s="448"/>
      <c r="N60" s="446">
        <f>N62+N63</f>
        <v>254000</v>
      </c>
      <c r="O60" s="433"/>
      <c r="P60" s="433"/>
      <c r="Q60" s="446">
        <f>SUM(Q61:Q61)</f>
        <v>1741100</v>
      </c>
      <c r="R60" s="446">
        <f>SUM(R61:R61)</f>
        <v>0</v>
      </c>
      <c r="S60" s="446">
        <f>SUM(S61:S61)</f>
        <v>1741100</v>
      </c>
      <c r="T60" s="433"/>
      <c r="U60" s="446"/>
      <c r="V60" s="446"/>
      <c r="W60" s="620">
        <f>W62+W63</f>
        <v>254000</v>
      </c>
      <c r="X60" s="615">
        <f t="shared" si="1"/>
        <v>14.588478548044339</v>
      </c>
      <c r="Y60" s="815" t="e">
        <f>F60-W60-#REF!</f>
        <v>#REF!</v>
      </c>
      <c r="Z60" s="627"/>
      <c r="AA60" s="632" t="e">
        <f>#REF!-#REF!</f>
        <v>#REF!</v>
      </c>
      <c r="AB60" s="632"/>
      <c r="AC60" s="523"/>
      <c r="AD60" s="218"/>
      <c r="AE60" s="218"/>
      <c r="AF60" s="218"/>
      <c r="AG60" s="311" t="e">
        <f>X60+Z60+#REF!</f>
        <v>#REF!</v>
      </c>
      <c r="AH60" s="486"/>
    </row>
    <row r="61" spans="1:40" s="213" customFormat="1" ht="33.75" hidden="1" customHeight="1" x14ac:dyDescent="0.2">
      <c r="A61" s="316"/>
      <c r="B61" s="318" t="s">
        <v>283</v>
      </c>
      <c r="C61" s="318" t="s">
        <v>319</v>
      </c>
      <c r="D61" s="434">
        <v>1741100</v>
      </c>
      <c r="E61" s="434">
        <v>0</v>
      </c>
      <c r="F61" s="434">
        <f>D61+E61</f>
        <v>1741100</v>
      </c>
      <c r="G61" s="435">
        <v>12</v>
      </c>
      <c r="H61" s="435">
        <v>3</v>
      </c>
      <c r="I61" s="435"/>
      <c r="J61" s="435"/>
      <c r="K61" s="435">
        <v>2</v>
      </c>
      <c r="L61" s="435"/>
      <c r="M61" s="436" t="s">
        <v>185</v>
      </c>
      <c r="N61" s="434">
        <f>N62+N63</f>
        <v>254000</v>
      </c>
      <c r="O61" s="437"/>
      <c r="P61" s="437"/>
      <c r="Q61" s="434">
        <v>1741100</v>
      </c>
      <c r="R61" s="434">
        <v>0</v>
      </c>
      <c r="S61" s="434">
        <f>Q61+R61</f>
        <v>1741100</v>
      </c>
      <c r="T61" s="437"/>
      <c r="U61" s="541"/>
      <c r="V61" s="541"/>
      <c r="W61" s="621">
        <f>W62+W63</f>
        <v>254000</v>
      </c>
      <c r="X61" s="615">
        <f t="shared" si="1"/>
        <v>14.588478548044339</v>
      </c>
      <c r="Y61" s="815" t="e">
        <f>F61-W61-#REF!</f>
        <v>#REF!</v>
      </c>
      <c r="Z61" s="626"/>
      <c r="AA61" s="632" t="e">
        <f>#REF!-#REF!</f>
        <v>#REF!</v>
      </c>
      <c r="AB61" s="632"/>
      <c r="AC61" s="522"/>
      <c r="AD61" s="201"/>
      <c r="AE61" s="201"/>
      <c r="AF61" s="201"/>
      <c r="AG61" s="311" t="e">
        <f>X61+Z61+#REF!</f>
        <v>#REF!</v>
      </c>
      <c r="AH61" s="486"/>
    </row>
    <row r="62" spans="1:40" s="213" customFormat="1" ht="70.5" hidden="1" customHeight="1" x14ac:dyDescent="0.2">
      <c r="A62" s="316"/>
      <c r="B62" s="318" t="s">
        <v>321</v>
      </c>
      <c r="C62" s="318" t="s">
        <v>319</v>
      </c>
      <c r="D62" s="434">
        <v>909900</v>
      </c>
      <c r="E62" s="434">
        <v>0</v>
      </c>
      <c r="F62" s="434">
        <v>909900</v>
      </c>
      <c r="G62" s="435">
        <v>12</v>
      </c>
      <c r="H62" s="435">
        <v>3</v>
      </c>
      <c r="I62" s="435"/>
      <c r="J62" s="435"/>
      <c r="K62" s="435">
        <v>2</v>
      </c>
      <c r="L62" s="435"/>
      <c r="M62" s="436" t="s">
        <v>185</v>
      </c>
      <c r="N62" s="434">
        <f>254000</f>
        <v>254000</v>
      </c>
      <c r="O62" s="437"/>
      <c r="P62" s="437"/>
      <c r="Q62" s="434">
        <v>909900</v>
      </c>
      <c r="R62" s="434">
        <v>0</v>
      </c>
      <c r="S62" s="434">
        <v>909900</v>
      </c>
      <c r="T62" s="437"/>
      <c r="U62" s="541"/>
      <c r="V62" s="541"/>
      <c r="W62" s="621">
        <f>242975+10425+600</f>
        <v>254000</v>
      </c>
      <c r="X62" s="615">
        <f t="shared" si="1"/>
        <v>27.91515551159468</v>
      </c>
      <c r="Y62" s="815" t="e">
        <f>F62-W62-#REF!</f>
        <v>#REF!</v>
      </c>
      <c r="Z62" s="626"/>
      <c r="AA62" s="632" t="e">
        <f>#REF!-#REF!</f>
        <v>#REF!</v>
      </c>
      <c r="AB62" s="632"/>
      <c r="AC62" s="1324" t="s">
        <v>357</v>
      </c>
      <c r="AD62" s="336"/>
      <c r="AE62" s="336" t="s">
        <v>397</v>
      </c>
      <c r="AF62" s="336">
        <f>600+10425+242975</f>
        <v>254000</v>
      </c>
      <c r="AG62" s="311" t="e">
        <f>X62+Z62+#REF!</f>
        <v>#REF!</v>
      </c>
      <c r="AH62" s="486"/>
    </row>
    <row r="63" spans="1:40" s="213" customFormat="1" ht="31.5" hidden="1" customHeight="1" x14ac:dyDescent="0.2">
      <c r="A63" s="316"/>
      <c r="B63" s="318" t="s">
        <v>322</v>
      </c>
      <c r="C63" s="318" t="s">
        <v>319</v>
      </c>
      <c r="D63" s="434">
        <v>831200</v>
      </c>
      <c r="E63" s="434">
        <v>0</v>
      </c>
      <c r="F63" s="434">
        <v>831200</v>
      </c>
      <c r="G63" s="435">
        <v>12</v>
      </c>
      <c r="H63" s="435">
        <v>3</v>
      </c>
      <c r="I63" s="435"/>
      <c r="J63" s="435"/>
      <c r="K63" s="435">
        <v>2</v>
      </c>
      <c r="L63" s="435"/>
      <c r="M63" s="436" t="s">
        <v>185</v>
      </c>
      <c r="N63" s="434">
        <v>0</v>
      </c>
      <c r="O63" s="437"/>
      <c r="P63" s="437"/>
      <c r="Q63" s="434">
        <v>831200</v>
      </c>
      <c r="R63" s="434">
        <v>0</v>
      </c>
      <c r="S63" s="434">
        <v>831200</v>
      </c>
      <c r="T63" s="437"/>
      <c r="U63" s="541"/>
      <c r="V63" s="541"/>
      <c r="W63" s="621">
        <v>0</v>
      </c>
      <c r="X63" s="615">
        <f t="shared" si="1"/>
        <v>0</v>
      </c>
      <c r="Y63" s="815" t="e">
        <f>F63-W63-#REF!</f>
        <v>#REF!</v>
      </c>
      <c r="Z63" s="626"/>
      <c r="AA63" s="632" t="e">
        <f>#REF!-#REF!</f>
        <v>#REF!</v>
      </c>
      <c r="AB63" s="632"/>
      <c r="AC63" s="1324"/>
      <c r="AD63" s="337"/>
      <c r="AE63" s="337"/>
      <c r="AF63" s="338"/>
      <c r="AG63" s="311" t="e">
        <f>X63+Z63+#REF!</f>
        <v>#REF!</v>
      </c>
      <c r="AH63" s="486"/>
    </row>
    <row r="64" spans="1:40" s="213" customFormat="1" ht="50.25" hidden="1" customHeight="1" x14ac:dyDescent="0.2">
      <c r="A64" s="334">
        <v>14</v>
      </c>
      <c r="B64" s="335" t="s">
        <v>408</v>
      </c>
      <c r="C64" s="335" t="s">
        <v>333</v>
      </c>
      <c r="D64" s="446">
        <f>SUM(D65:D78)</f>
        <v>4033500</v>
      </c>
      <c r="E64" s="446">
        <f>SUM(E65:E68)</f>
        <v>0</v>
      </c>
      <c r="F64" s="446">
        <f>SUM(F65:F78)</f>
        <v>4033500</v>
      </c>
      <c r="G64" s="447"/>
      <c r="H64" s="447"/>
      <c r="I64" s="447"/>
      <c r="J64" s="447"/>
      <c r="K64" s="447"/>
      <c r="L64" s="447"/>
      <c r="M64" s="448"/>
      <c r="N64" s="446">
        <f>N65+N66+N67+N68+N69+N70+N71+N72+N73+N74+N75+N76+N77+N78</f>
        <v>443000</v>
      </c>
      <c r="O64" s="433"/>
      <c r="P64" s="433"/>
      <c r="Q64" s="446">
        <f>SUM(Q65:Q78)</f>
        <v>4033500</v>
      </c>
      <c r="R64" s="446">
        <f>SUM(R65:R68)</f>
        <v>0</v>
      </c>
      <c r="S64" s="446">
        <f>SUM(S65:S78)</f>
        <v>4033500</v>
      </c>
      <c r="T64" s="433"/>
      <c r="U64" s="446"/>
      <c r="V64" s="446"/>
      <c r="W64" s="620">
        <f>W65+W66+W67+W68+W69+W70+W71+W72+W73+W74+W75+W76+W77+W78</f>
        <v>342200</v>
      </c>
      <c r="X64" s="615">
        <f t="shared" si="1"/>
        <v>8.4839469443411435</v>
      </c>
      <c r="Y64" s="815" t="e">
        <f>F64-W64-#REF!</f>
        <v>#REF!</v>
      </c>
      <c r="Z64" s="627"/>
      <c r="AA64" s="632" t="e">
        <f>#REF!-#REF!</f>
        <v>#REF!</v>
      </c>
      <c r="AB64" s="632"/>
      <c r="AC64" s="524"/>
      <c r="AD64" s="218"/>
      <c r="AE64" s="218"/>
      <c r="AF64" s="216">
        <f>596200-AC64</f>
        <v>596200</v>
      </c>
      <c r="AG64" s="311" t="e">
        <f>X64+Z64+#REF!</f>
        <v>#REF!</v>
      </c>
      <c r="AH64" s="486"/>
    </row>
    <row r="65" spans="1:35" s="213" customFormat="1" ht="51.75" hidden="1" customHeight="1" x14ac:dyDescent="0.2">
      <c r="A65" s="316">
        <v>1</v>
      </c>
      <c r="B65" s="318" t="s">
        <v>284</v>
      </c>
      <c r="C65" s="318" t="s">
        <v>334</v>
      </c>
      <c r="D65" s="434">
        <v>60000</v>
      </c>
      <c r="E65" s="434">
        <v>0</v>
      </c>
      <c r="F65" s="434">
        <f t="shared" ref="F65:F78" si="4">D65+E65</f>
        <v>60000</v>
      </c>
      <c r="G65" s="435">
        <v>11</v>
      </c>
      <c r="H65" s="435">
        <v>1</v>
      </c>
      <c r="I65" s="435"/>
      <c r="J65" s="435"/>
      <c r="K65" s="435">
        <v>2</v>
      </c>
      <c r="L65" s="435"/>
      <c r="M65" s="436" t="s">
        <v>185</v>
      </c>
      <c r="N65" s="434">
        <v>0</v>
      </c>
      <c r="O65" s="437"/>
      <c r="P65" s="437"/>
      <c r="Q65" s="434">
        <v>60000</v>
      </c>
      <c r="R65" s="434">
        <v>0</v>
      </c>
      <c r="S65" s="434">
        <f t="shared" ref="S65:S78" si="5">Q65+R65</f>
        <v>60000</v>
      </c>
      <c r="T65" s="437"/>
      <c r="U65" s="541"/>
      <c r="V65" s="541"/>
      <c r="W65" s="621">
        <v>0</v>
      </c>
      <c r="X65" s="615">
        <f t="shared" si="1"/>
        <v>0</v>
      </c>
      <c r="Y65" s="815" t="e">
        <f>F65-W65-#REF!</f>
        <v>#REF!</v>
      </c>
      <c r="Z65" s="626"/>
      <c r="AA65" s="632" t="e">
        <f>#REF!-#REF!</f>
        <v>#REF!</v>
      </c>
      <c r="AB65" s="632"/>
      <c r="AC65" s="522" t="s">
        <v>339</v>
      </c>
      <c r="AD65" s="201"/>
      <c r="AE65" s="201"/>
      <c r="AF65" s="201"/>
      <c r="AG65" s="311" t="e">
        <f>X65+Z65+#REF!</f>
        <v>#REF!</v>
      </c>
      <c r="AH65" s="486"/>
    </row>
    <row r="66" spans="1:35" s="342" customFormat="1" ht="56.25" hidden="1" customHeight="1" x14ac:dyDescent="0.2">
      <c r="A66" s="339">
        <v>2</v>
      </c>
      <c r="B66" s="340" t="s">
        <v>407</v>
      </c>
      <c r="C66" s="340" t="s">
        <v>334</v>
      </c>
      <c r="D66" s="449">
        <v>25000</v>
      </c>
      <c r="E66" s="449">
        <v>0</v>
      </c>
      <c r="F66" s="449">
        <f t="shared" si="4"/>
        <v>25000</v>
      </c>
      <c r="G66" s="450">
        <v>11</v>
      </c>
      <c r="H66" s="450">
        <v>12</v>
      </c>
      <c r="I66" s="450"/>
      <c r="J66" s="450"/>
      <c r="K66" s="450">
        <v>2</v>
      </c>
      <c r="L66" s="450"/>
      <c r="M66" s="451" t="s">
        <v>185</v>
      </c>
      <c r="N66" s="449">
        <v>25000</v>
      </c>
      <c r="O66" s="452"/>
      <c r="P66" s="452"/>
      <c r="Q66" s="449">
        <v>25000</v>
      </c>
      <c r="R66" s="449">
        <v>0</v>
      </c>
      <c r="S66" s="449">
        <f t="shared" si="5"/>
        <v>25000</v>
      </c>
      <c r="T66" s="452"/>
      <c r="U66" s="543"/>
      <c r="V66" s="543"/>
      <c r="W66" s="623">
        <v>25000</v>
      </c>
      <c r="X66" s="615">
        <f t="shared" si="1"/>
        <v>100</v>
      </c>
      <c r="Y66" s="815" t="e">
        <f>F66-W66-#REF!</f>
        <v>#REF!</v>
      </c>
      <c r="Z66" s="629"/>
      <c r="AA66" s="632" t="e">
        <f>#REF!-#REF!</f>
        <v>#REF!</v>
      </c>
      <c r="AB66" s="632"/>
      <c r="AC66" s="522" t="s">
        <v>340</v>
      </c>
      <c r="AD66" s="341"/>
      <c r="AE66" s="341"/>
      <c r="AF66" s="341" t="s">
        <v>402</v>
      </c>
      <c r="AG66" s="311" t="e">
        <f>X66+Z66+#REF!</f>
        <v>#REF!</v>
      </c>
      <c r="AH66" s="489"/>
    </row>
    <row r="67" spans="1:35" s="342" customFormat="1" ht="78" hidden="1" customHeight="1" x14ac:dyDescent="0.2">
      <c r="A67" s="339">
        <v>3</v>
      </c>
      <c r="B67" s="340" t="s">
        <v>387</v>
      </c>
      <c r="C67" s="340" t="s">
        <v>334</v>
      </c>
      <c r="D67" s="449">
        <v>60000</v>
      </c>
      <c r="E67" s="449">
        <v>0</v>
      </c>
      <c r="F67" s="449">
        <f t="shared" si="4"/>
        <v>60000</v>
      </c>
      <c r="G67" s="450">
        <v>11</v>
      </c>
      <c r="H67" s="450">
        <v>11</v>
      </c>
      <c r="I67" s="450"/>
      <c r="J67" s="450"/>
      <c r="K67" s="450">
        <v>3</v>
      </c>
      <c r="L67" s="450"/>
      <c r="M67" s="451" t="s">
        <v>185</v>
      </c>
      <c r="N67" s="449">
        <v>60000</v>
      </c>
      <c r="O67" s="452"/>
      <c r="P67" s="452"/>
      <c r="Q67" s="449">
        <v>60000</v>
      </c>
      <c r="R67" s="449">
        <v>0</v>
      </c>
      <c r="S67" s="449">
        <f t="shared" si="5"/>
        <v>60000</v>
      </c>
      <c r="T67" s="452"/>
      <c r="U67" s="543"/>
      <c r="V67" s="543"/>
      <c r="W67" s="623">
        <v>60000</v>
      </c>
      <c r="X67" s="615">
        <f t="shared" si="1"/>
        <v>100</v>
      </c>
      <c r="Y67" s="815" t="e">
        <f>F67-W67-#REF!</f>
        <v>#REF!</v>
      </c>
      <c r="Z67" s="629"/>
      <c r="AA67" s="632" t="e">
        <f>#REF!-#REF!</f>
        <v>#REF!</v>
      </c>
      <c r="AB67" s="632"/>
      <c r="AC67" s="522" t="s">
        <v>341</v>
      </c>
      <c r="AD67" s="341"/>
      <c r="AE67" s="341"/>
      <c r="AF67" s="341" t="s">
        <v>403</v>
      </c>
      <c r="AG67" s="311" t="e">
        <f>X67+Z67+#REF!</f>
        <v>#REF!</v>
      </c>
      <c r="AH67" s="489"/>
    </row>
    <row r="68" spans="1:35" s="342" customFormat="1" ht="243" hidden="1" x14ac:dyDescent="0.2">
      <c r="A68" s="339">
        <v>4</v>
      </c>
      <c r="B68" s="340" t="s">
        <v>285</v>
      </c>
      <c r="C68" s="340" t="s">
        <v>334</v>
      </c>
      <c r="D68" s="449">
        <v>372000</v>
      </c>
      <c r="E68" s="449">
        <v>0</v>
      </c>
      <c r="F68" s="449">
        <f t="shared" si="4"/>
        <v>372000</v>
      </c>
      <c r="G68" s="450">
        <v>11</v>
      </c>
      <c r="H68" s="450">
        <v>11</v>
      </c>
      <c r="I68" s="450"/>
      <c r="J68" s="450"/>
      <c r="K68" s="450">
        <v>2</v>
      </c>
      <c r="L68" s="450"/>
      <c r="M68" s="451" t="s">
        <v>185</v>
      </c>
      <c r="N68" s="449">
        <f>236800+100800</f>
        <v>337600</v>
      </c>
      <c r="O68" s="452"/>
      <c r="P68" s="452"/>
      <c r="Q68" s="449">
        <v>372000</v>
      </c>
      <c r="R68" s="449">
        <v>0</v>
      </c>
      <c r="S68" s="449">
        <f t="shared" si="5"/>
        <v>372000</v>
      </c>
      <c r="T68" s="452"/>
      <c r="U68" s="543"/>
      <c r="V68" s="543"/>
      <c r="W68" s="623">
        <f>100800+136000</f>
        <v>236800</v>
      </c>
      <c r="X68" s="615">
        <f t="shared" si="1"/>
        <v>63.655913978494624</v>
      </c>
      <c r="Y68" s="815" t="e">
        <f>F68-W68-#REF!</f>
        <v>#REF!</v>
      </c>
      <c r="Z68" s="629"/>
      <c r="AA68" s="632" t="e">
        <f>#REF!-#REF!</f>
        <v>#REF!</v>
      </c>
      <c r="AB68" s="632"/>
      <c r="AC68" s="522" t="s">
        <v>410</v>
      </c>
      <c r="AD68" s="341"/>
      <c r="AE68" s="341"/>
      <c r="AF68" s="341"/>
      <c r="AG68" s="311" t="e">
        <f>X68+Z68+#REF!</f>
        <v>#REF!</v>
      </c>
      <c r="AH68" s="489"/>
    </row>
    <row r="69" spans="1:35" s="213" customFormat="1" ht="101.25" hidden="1" x14ac:dyDescent="0.2">
      <c r="A69" s="316">
        <v>5</v>
      </c>
      <c r="B69" s="318" t="s">
        <v>286</v>
      </c>
      <c r="C69" s="318" t="s">
        <v>334</v>
      </c>
      <c r="D69" s="434">
        <v>75000</v>
      </c>
      <c r="E69" s="434">
        <v>0</v>
      </c>
      <c r="F69" s="434">
        <f t="shared" si="4"/>
        <v>75000</v>
      </c>
      <c r="G69" s="435">
        <v>11</v>
      </c>
      <c r="H69" s="435">
        <v>3</v>
      </c>
      <c r="I69" s="435"/>
      <c r="J69" s="435"/>
      <c r="K69" s="435">
        <v>2</v>
      </c>
      <c r="L69" s="435"/>
      <c r="M69" s="436" t="s">
        <v>185</v>
      </c>
      <c r="N69" s="434">
        <v>0</v>
      </c>
      <c r="O69" s="437"/>
      <c r="P69" s="437"/>
      <c r="Q69" s="434">
        <v>75000</v>
      </c>
      <c r="R69" s="434">
        <v>0</v>
      </c>
      <c r="S69" s="434">
        <f t="shared" si="5"/>
        <v>75000</v>
      </c>
      <c r="T69" s="437"/>
      <c r="U69" s="541"/>
      <c r="V69" s="541"/>
      <c r="W69" s="621">
        <v>0</v>
      </c>
      <c r="X69" s="615">
        <f t="shared" si="1"/>
        <v>0</v>
      </c>
      <c r="Y69" s="815" t="e">
        <f>F69-W69-#REF!</f>
        <v>#REF!</v>
      </c>
      <c r="Z69" s="626"/>
      <c r="AA69" s="632" t="e">
        <f>#REF!-#REF!</f>
        <v>#REF!</v>
      </c>
      <c r="AB69" s="632"/>
      <c r="AC69" s="522" t="s">
        <v>342</v>
      </c>
      <c r="AD69" s="201"/>
      <c r="AE69" s="201"/>
      <c r="AF69" s="201"/>
      <c r="AG69" s="311" t="e">
        <f>X69+Z69+#REF!</f>
        <v>#REF!</v>
      </c>
      <c r="AH69" s="486"/>
    </row>
    <row r="70" spans="1:35" s="213" customFormat="1" ht="135" hidden="1" x14ac:dyDescent="0.2">
      <c r="A70" s="316">
        <v>6</v>
      </c>
      <c r="B70" s="318" t="s">
        <v>287</v>
      </c>
      <c r="C70" s="318" t="s">
        <v>334</v>
      </c>
      <c r="D70" s="434">
        <v>480000</v>
      </c>
      <c r="E70" s="434">
        <v>0</v>
      </c>
      <c r="F70" s="434">
        <f t="shared" si="4"/>
        <v>480000</v>
      </c>
      <c r="G70" s="435">
        <v>11</v>
      </c>
      <c r="H70" s="435">
        <v>3</v>
      </c>
      <c r="I70" s="435"/>
      <c r="J70" s="435"/>
      <c r="K70" s="435">
        <v>2</v>
      </c>
      <c r="L70" s="435"/>
      <c r="M70" s="436" t="s">
        <v>185</v>
      </c>
      <c r="N70" s="434">
        <v>0</v>
      </c>
      <c r="O70" s="437"/>
      <c r="P70" s="437"/>
      <c r="Q70" s="434">
        <v>480000</v>
      </c>
      <c r="R70" s="434">
        <v>0</v>
      </c>
      <c r="S70" s="434">
        <f t="shared" si="5"/>
        <v>480000</v>
      </c>
      <c r="T70" s="437"/>
      <c r="U70" s="541"/>
      <c r="V70" s="541"/>
      <c r="W70" s="621">
        <v>0</v>
      </c>
      <c r="X70" s="615">
        <f t="shared" si="1"/>
        <v>0</v>
      </c>
      <c r="Y70" s="815" t="e">
        <f>F70-W70-#REF!</f>
        <v>#REF!</v>
      </c>
      <c r="Z70" s="626"/>
      <c r="AA70" s="632" t="e">
        <f>#REF!-#REF!</f>
        <v>#REF!</v>
      </c>
      <c r="AB70" s="632"/>
      <c r="AC70" s="522" t="s">
        <v>343</v>
      </c>
      <c r="AD70" s="201"/>
      <c r="AE70" s="201"/>
      <c r="AF70" s="201"/>
      <c r="AG70" s="311" t="e">
        <f>X70+Z70+#REF!</f>
        <v>#REF!</v>
      </c>
      <c r="AH70" s="486"/>
    </row>
    <row r="71" spans="1:35" s="213" customFormat="1" ht="75.75" hidden="1" customHeight="1" x14ac:dyDescent="0.2">
      <c r="A71" s="316">
        <v>7</v>
      </c>
      <c r="B71" s="318" t="s">
        <v>288</v>
      </c>
      <c r="C71" s="318" t="s">
        <v>334</v>
      </c>
      <c r="D71" s="434">
        <v>407000</v>
      </c>
      <c r="E71" s="434">
        <v>0</v>
      </c>
      <c r="F71" s="434">
        <f t="shared" si="4"/>
        <v>407000</v>
      </c>
      <c r="G71" s="435">
        <v>11</v>
      </c>
      <c r="H71" s="435">
        <v>2</v>
      </c>
      <c r="I71" s="435"/>
      <c r="J71" s="435"/>
      <c r="K71" s="435">
        <v>2</v>
      </c>
      <c r="L71" s="435"/>
      <c r="M71" s="436" t="s">
        <v>185</v>
      </c>
      <c r="N71" s="434">
        <v>0</v>
      </c>
      <c r="O71" s="437"/>
      <c r="P71" s="437"/>
      <c r="Q71" s="434">
        <v>407000</v>
      </c>
      <c r="R71" s="434">
        <v>0</v>
      </c>
      <c r="S71" s="434">
        <f t="shared" si="5"/>
        <v>407000</v>
      </c>
      <c r="T71" s="437"/>
      <c r="U71" s="541"/>
      <c r="V71" s="541"/>
      <c r="W71" s="621">
        <v>0</v>
      </c>
      <c r="X71" s="615">
        <f t="shared" si="1"/>
        <v>0</v>
      </c>
      <c r="Y71" s="815" t="e">
        <f>F71-W71-#REF!</f>
        <v>#REF!</v>
      </c>
      <c r="Z71" s="626"/>
      <c r="AA71" s="632" t="e">
        <f>#REF!-#REF!</f>
        <v>#REF!</v>
      </c>
      <c r="AB71" s="632"/>
      <c r="AC71" s="522" t="s">
        <v>344</v>
      </c>
      <c r="AD71" s="201"/>
      <c r="AE71" s="201"/>
      <c r="AF71" s="201"/>
      <c r="AG71" s="311" t="e">
        <f>X71+Z71+#REF!</f>
        <v>#REF!</v>
      </c>
      <c r="AH71" s="486"/>
    </row>
    <row r="72" spans="1:35" s="213" customFormat="1" ht="59.25" hidden="1" customHeight="1" x14ac:dyDescent="0.2">
      <c r="A72" s="316">
        <v>8</v>
      </c>
      <c r="B72" s="318" t="s">
        <v>289</v>
      </c>
      <c r="C72" s="318" t="s">
        <v>334</v>
      </c>
      <c r="D72" s="434">
        <v>100000</v>
      </c>
      <c r="E72" s="434">
        <v>0</v>
      </c>
      <c r="F72" s="434">
        <f t="shared" si="4"/>
        <v>100000</v>
      </c>
      <c r="G72" s="435">
        <v>3</v>
      </c>
      <c r="H72" s="435">
        <v>5</v>
      </c>
      <c r="I72" s="435"/>
      <c r="J72" s="435"/>
      <c r="K72" s="435">
        <v>1</v>
      </c>
      <c r="L72" s="435"/>
      <c r="M72" s="436" t="s">
        <v>185</v>
      </c>
      <c r="N72" s="434">
        <v>0</v>
      </c>
      <c r="O72" s="437"/>
      <c r="P72" s="437"/>
      <c r="Q72" s="434">
        <v>100000</v>
      </c>
      <c r="R72" s="434">
        <v>0</v>
      </c>
      <c r="S72" s="434">
        <f t="shared" si="5"/>
        <v>100000</v>
      </c>
      <c r="T72" s="437"/>
      <c r="U72" s="541"/>
      <c r="V72" s="541"/>
      <c r="W72" s="621">
        <v>0</v>
      </c>
      <c r="X72" s="615">
        <f t="shared" si="1"/>
        <v>0</v>
      </c>
      <c r="Y72" s="815" t="e">
        <f>F72-W72-#REF!</f>
        <v>#REF!</v>
      </c>
      <c r="Z72" s="626"/>
      <c r="AA72" s="632" t="e">
        <f>#REF!-#REF!</f>
        <v>#REF!</v>
      </c>
      <c r="AB72" s="632"/>
      <c r="AC72" s="522" t="s">
        <v>345</v>
      </c>
      <c r="AD72" s="201"/>
      <c r="AE72" s="201"/>
      <c r="AF72" s="201"/>
      <c r="AG72" s="311" t="e">
        <f>X72+Z72+#REF!</f>
        <v>#REF!</v>
      </c>
      <c r="AH72" s="486"/>
    </row>
    <row r="73" spans="1:35" s="222" customFormat="1" ht="168.75" hidden="1" x14ac:dyDescent="0.2">
      <c r="A73" s="343">
        <v>9</v>
      </c>
      <c r="B73" s="344" t="s">
        <v>290</v>
      </c>
      <c r="C73" s="344" t="s">
        <v>334</v>
      </c>
      <c r="D73" s="453">
        <v>242500</v>
      </c>
      <c r="E73" s="453">
        <v>0</v>
      </c>
      <c r="F73" s="453">
        <f t="shared" si="4"/>
        <v>242500</v>
      </c>
      <c r="G73" s="454">
        <v>5</v>
      </c>
      <c r="H73" s="454">
        <v>6</v>
      </c>
      <c r="I73" s="454"/>
      <c r="J73" s="454"/>
      <c r="K73" s="454">
        <v>1</v>
      </c>
      <c r="L73" s="454"/>
      <c r="M73" s="455" t="s">
        <v>185</v>
      </c>
      <c r="N73" s="453">
        <v>0</v>
      </c>
      <c r="O73" s="437"/>
      <c r="P73" s="437"/>
      <c r="Q73" s="453">
        <v>242500</v>
      </c>
      <c r="R73" s="453">
        <v>0</v>
      </c>
      <c r="S73" s="453">
        <f t="shared" si="5"/>
        <v>242500</v>
      </c>
      <c r="T73" s="437"/>
      <c r="U73" s="541"/>
      <c r="V73" s="541"/>
      <c r="W73" s="621">
        <v>0</v>
      </c>
      <c r="X73" s="615">
        <f t="shared" ref="X73:X78" si="6">W73/F73*100</f>
        <v>0</v>
      </c>
      <c r="Y73" s="815" t="e">
        <f>F73-W73-#REF!</f>
        <v>#REF!</v>
      </c>
      <c r="Z73" s="626"/>
      <c r="AA73" s="632" t="e">
        <f>#REF!-#REF!</f>
        <v>#REF!</v>
      </c>
      <c r="AB73" s="632"/>
      <c r="AC73" s="525" t="s">
        <v>346</v>
      </c>
      <c r="AD73" s="220"/>
      <c r="AE73" s="220"/>
      <c r="AF73" s="220"/>
      <c r="AG73" s="311" t="e">
        <f>X73+Z73+#REF!</f>
        <v>#REF!</v>
      </c>
      <c r="AH73" s="490"/>
    </row>
    <row r="74" spans="1:35" s="222" customFormat="1" ht="45" hidden="1" customHeight="1" x14ac:dyDescent="0.2">
      <c r="A74" s="343">
        <v>10</v>
      </c>
      <c r="B74" s="344" t="s">
        <v>291</v>
      </c>
      <c r="C74" s="344" t="s">
        <v>334</v>
      </c>
      <c r="D74" s="453">
        <v>1873000</v>
      </c>
      <c r="E74" s="453">
        <v>0</v>
      </c>
      <c r="F74" s="453">
        <f t="shared" si="4"/>
        <v>1873000</v>
      </c>
      <c r="G74" s="454">
        <v>11</v>
      </c>
      <c r="H74" s="454">
        <v>7</v>
      </c>
      <c r="I74" s="454"/>
      <c r="J74" s="454"/>
      <c r="K74" s="454">
        <v>2</v>
      </c>
      <c r="L74" s="454"/>
      <c r="M74" s="455" t="s">
        <v>185</v>
      </c>
      <c r="N74" s="453">
        <v>0</v>
      </c>
      <c r="O74" s="437"/>
      <c r="P74" s="437"/>
      <c r="Q74" s="453">
        <v>1873000</v>
      </c>
      <c r="R74" s="453">
        <v>0</v>
      </c>
      <c r="S74" s="453">
        <f t="shared" si="5"/>
        <v>1873000</v>
      </c>
      <c r="T74" s="437"/>
      <c r="U74" s="541"/>
      <c r="V74" s="541"/>
      <c r="W74" s="621">
        <v>0</v>
      </c>
      <c r="X74" s="615">
        <f t="shared" si="6"/>
        <v>0</v>
      </c>
      <c r="Y74" s="815" t="e">
        <f>F74-W74-#REF!</f>
        <v>#REF!</v>
      </c>
      <c r="Z74" s="626"/>
      <c r="AA74" s="632" t="e">
        <f>#REF!-#REF!</f>
        <v>#REF!</v>
      </c>
      <c r="AB74" s="632"/>
      <c r="AC74" s="525" t="s">
        <v>347</v>
      </c>
      <c r="AD74" s="220"/>
      <c r="AE74" s="220"/>
      <c r="AF74" s="220"/>
      <c r="AG74" s="311" t="e">
        <f>X74+Z74+#REF!</f>
        <v>#REF!</v>
      </c>
      <c r="AH74" s="490"/>
    </row>
    <row r="75" spans="1:35" s="222" customFormat="1" ht="135" hidden="1" x14ac:dyDescent="0.2">
      <c r="A75" s="343">
        <v>11</v>
      </c>
      <c r="B75" s="344" t="s">
        <v>292</v>
      </c>
      <c r="C75" s="344" t="s">
        <v>334</v>
      </c>
      <c r="D75" s="453">
        <v>27600</v>
      </c>
      <c r="E75" s="453">
        <v>0</v>
      </c>
      <c r="F75" s="453">
        <f t="shared" si="4"/>
        <v>27600</v>
      </c>
      <c r="G75" s="454">
        <v>11</v>
      </c>
      <c r="H75" s="454">
        <v>5</v>
      </c>
      <c r="I75" s="454"/>
      <c r="J75" s="454"/>
      <c r="K75" s="454">
        <v>2</v>
      </c>
      <c r="L75" s="454"/>
      <c r="M75" s="455" t="s">
        <v>185</v>
      </c>
      <c r="N75" s="453">
        <v>0</v>
      </c>
      <c r="O75" s="437"/>
      <c r="P75" s="437"/>
      <c r="Q75" s="453">
        <v>27600</v>
      </c>
      <c r="R75" s="453">
        <v>0</v>
      </c>
      <c r="S75" s="453">
        <f t="shared" si="5"/>
        <v>27600</v>
      </c>
      <c r="T75" s="437"/>
      <c r="U75" s="541"/>
      <c r="V75" s="541"/>
      <c r="W75" s="621">
        <v>0</v>
      </c>
      <c r="X75" s="615">
        <f t="shared" si="6"/>
        <v>0</v>
      </c>
      <c r="Y75" s="815" t="e">
        <f>F75-W75-#REF!</f>
        <v>#REF!</v>
      </c>
      <c r="Z75" s="626"/>
      <c r="AA75" s="632" t="e">
        <f>#REF!-#REF!</f>
        <v>#REF!</v>
      </c>
      <c r="AB75" s="632"/>
      <c r="AC75" s="525" t="s">
        <v>348</v>
      </c>
      <c r="AD75" s="220"/>
      <c r="AE75" s="220"/>
      <c r="AF75" s="220"/>
      <c r="AG75" s="311" t="e">
        <f>X75+Z75+#REF!</f>
        <v>#REF!</v>
      </c>
      <c r="AH75" s="490"/>
    </row>
    <row r="76" spans="1:35" s="349" customFormat="1" ht="51.75" hidden="1" customHeight="1" x14ac:dyDescent="0.2">
      <c r="A76" s="345">
        <v>12</v>
      </c>
      <c r="B76" s="346" t="s">
        <v>293</v>
      </c>
      <c r="C76" s="346" t="s">
        <v>334</v>
      </c>
      <c r="D76" s="456">
        <v>20400</v>
      </c>
      <c r="E76" s="456">
        <v>0</v>
      </c>
      <c r="F76" s="456">
        <f t="shared" si="4"/>
        <v>20400</v>
      </c>
      <c r="G76" s="457">
        <v>11</v>
      </c>
      <c r="H76" s="457">
        <v>12</v>
      </c>
      <c r="I76" s="457"/>
      <c r="J76" s="457"/>
      <c r="K76" s="457">
        <v>2</v>
      </c>
      <c r="L76" s="457"/>
      <c r="M76" s="458" t="s">
        <v>185</v>
      </c>
      <c r="N76" s="456">
        <v>20400</v>
      </c>
      <c r="O76" s="452"/>
      <c r="P76" s="452"/>
      <c r="Q76" s="456">
        <v>20400</v>
      </c>
      <c r="R76" s="456">
        <v>0</v>
      </c>
      <c r="S76" s="456">
        <f t="shared" si="5"/>
        <v>20400</v>
      </c>
      <c r="T76" s="452"/>
      <c r="U76" s="543"/>
      <c r="V76" s="543"/>
      <c r="W76" s="623">
        <v>20400</v>
      </c>
      <c r="X76" s="615">
        <f t="shared" si="6"/>
        <v>100</v>
      </c>
      <c r="Y76" s="815" t="e">
        <f>F76-W76-#REF!</f>
        <v>#REF!</v>
      </c>
      <c r="Z76" s="629"/>
      <c r="AA76" s="632" t="e">
        <f>#REF!-#REF!</f>
        <v>#REF!</v>
      </c>
      <c r="AB76" s="632"/>
      <c r="AC76" s="525" t="s">
        <v>349</v>
      </c>
      <c r="AD76" s="347"/>
      <c r="AE76" s="348">
        <v>20400</v>
      </c>
      <c r="AF76" s="348" t="s">
        <v>406</v>
      </c>
      <c r="AG76" s="311" t="e">
        <f>X76+Z76+#REF!</f>
        <v>#REF!</v>
      </c>
      <c r="AH76" s="491"/>
    </row>
    <row r="77" spans="1:35" s="222" customFormat="1" ht="54" hidden="1" customHeight="1" x14ac:dyDescent="0.2">
      <c r="A77" s="343">
        <v>13</v>
      </c>
      <c r="B77" s="344" t="s">
        <v>335</v>
      </c>
      <c r="C77" s="344" t="s">
        <v>334</v>
      </c>
      <c r="D77" s="453">
        <v>171800</v>
      </c>
      <c r="E77" s="453">
        <v>0</v>
      </c>
      <c r="F77" s="453">
        <f t="shared" si="4"/>
        <v>171800</v>
      </c>
      <c r="G77" s="454">
        <v>11</v>
      </c>
      <c r="H77" s="454">
        <v>1</v>
      </c>
      <c r="I77" s="454"/>
      <c r="J77" s="454"/>
      <c r="K77" s="454">
        <v>2</v>
      </c>
      <c r="L77" s="454"/>
      <c r="M77" s="455" t="s">
        <v>185</v>
      </c>
      <c r="N77" s="453">
        <v>0</v>
      </c>
      <c r="O77" s="437"/>
      <c r="P77" s="437"/>
      <c r="Q77" s="453">
        <v>171800</v>
      </c>
      <c r="R77" s="453">
        <v>0</v>
      </c>
      <c r="S77" s="453">
        <f t="shared" si="5"/>
        <v>171800</v>
      </c>
      <c r="T77" s="437"/>
      <c r="U77" s="541"/>
      <c r="V77" s="541"/>
      <c r="W77" s="621">
        <v>0</v>
      </c>
      <c r="X77" s="615">
        <f t="shared" si="6"/>
        <v>0</v>
      </c>
      <c r="Y77" s="815" t="e">
        <f>F77-W77-#REF!</f>
        <v>#REF!</v>
      </c>
      <c r="Z77" s="626"/>
      <c r="AA77" s="632" t="e">
        <f>#REF!-#REF!</f>
        <v>#REF!</v>
      </c>
      <c r="AB77" s="632"/>
      <c r="AC77" s="525" t="s">
        <v>350</v>
      </c>
      <c r="AD77" s="220"/>
      <c r="AE77" s="220"/>
      <c r="AF77" s="220"/>
      <c r="AG77" s="311" t="e">
        <f>X77+Z77+#REF!</f>
        <v>#REF!</v>
      </c>
      <c r="AH77" s="490"/>
    </row>
    <row r="78" spans="1:35" s="222" customFormat="1" ht="108.6" hidden="1" customHeight="1" x14ac:dyDescent="0.2">
      <c r="A78" s="343">
        <v>14</v>
      </c>
      <c r="B78" s="344" t="s">
        <v>336</v>
      </c>
      <c r="C78" s="344" t="s">
        <v>334</v>
      </c>
      <c r="D78" s="453">
        <v>119200</v>
      </c>
      <c r="E78" s="453">
        <v>0</v>
      </c>
      <c r="F78" s="453">
        <f t="shared" si="4"/>
        <v>119200</v>
      </c>
      <c r="G78" s="454">
        <v>11</v>
      </c>
      <c r="H78" s="454">
        <v>1</v>
      </c>
      <c r="I78" s="454"/>
      <c r="J78" s="454"/>
      <c r="K78" s="454">
        <v>2</v>
      </c>
      <c r="L78" s="454"/>
      <c r="M78" s="455" t="s">
        <v>185</v>
      </c>
      <c r="N78" s="453">
        <v>0</v>
      </c>
      <c r="O78" s="437"/>
      <c r="P78" s="437"/>
      <c r="Q78" s="453">
        <v>119200</v>
      </c>
      <c r="R78" s="453">
        <v>0</v>
      </c>
      <c r="S78" s="453">
        <f t="shared" si="5"/>
        <v>119200</v>
      </c>
      <c r="T78" s="437"/>
      <c r="U78" s="541"/>
      <c r="V78" s="541"/>
      <c r="W78" s="621">
        <v>0</v>
      </c>
      <c r="X78" s="615">
        <f t="shared" si="6"/>
        <v>0</v>
      </c>
      <c r="Y78" s="815" t="e">
        <f>F78-W78-#REF!</f>
        <v>#REF!</v>
      </c>
      <c r="Z78" s="626"/>
      <c r="AA78" s="632" t="e">
        <f>#REF!-#REF!</f>
        <v>#REF!</v>
      </c>
      <c r="AB78" s="632"/>
      <c r="AC78" s="525" t="s">
        <v>351</v>
      </c>
      <c r="AD78" s="220"/>
      <c r="AE78" s="220"/>
      <c r="AF78" s="220"/>
      <c r="AG78" s="311" t="e">
        <f>X78+Z78+#REF!</f>
        <v>#REF!</v>
      </c>
      <c r="AH78" s="490"/>
    </row>
    <row r="79" spans="1:35" s="354" customFormat="1" ht="104.25" customHeight="1" x14ac:dyDescent="0.2">
      <c r="A79" s="350"/>
      <c r="B79" s="351" t="s">
        <v>522</v>
      </c>
      <c r="C79" s="352"/>
      <c r="D79" s="459">
        <f>D80+D83+D85+D87+D89</f>
        <v>1288400</v>
      </c>
      <c r="E79" s="459">
        <f t="shared" ref="E79:M79" si="7">E80+E83+E85+E87+E89</f>
        <v>97870000</v>
      </c>
      <c r="F79" s="567">
        <f t="shared" si="7"/>
        <v>99158400</v>
      </c>
      <c r="G79" s="459">
        <f t="shared" si="7"/>
        <v>0</v>
      </c>
      <c r="H79" s="459">
        <f t="shared" si="7"/>
        <v>0</v>
      </c>
      <c r="I79" s="459">
        <f t="shared" si="7"/>
        <v>0</v>
      </c>
      <c r="J79" s="459">
        <f t="shared" si="7"/>
        <v>0</v>
      </c>
      <c r="K79" s="459">
        <f t="shared" si="7"/>
        <v>0</v>
      </c>
      <c r="L79" s="459">
        <f t="shared" si="7"/>
        <v>0</v>
      </c>
      <c r="M79" s="459">
        <f t="shared" si="7"/>
        <v>0</v>
      </c>
      <c r="N79" s="459">
        <v>57678080</v>
      </c>
      <c r="O79" s="459">
        <f>N79/F79*100</f>
        <v>58.167618678800793</v>
      </c>
      <c r="P79" s="459">
        <f>10352320+17327680+21581500+3808500+6067860+11520140+19676400+6213600</f>
        <v>96548000</v>
      </c>
      <c r="Q79" s="459">
        <v>2100400</v>
      </c>
      <c r="R79" s="459">
        <v>96548000</v>
      </c>
      <c r="S79" s="567">
        <f>Q79+R79</f>
        <v>98648400</v>
      </c>
      <c r="T79" s="459">
        <v>1600400</v>
      </c>
      <c r="U79" s="537">
        <f>W79+37304320</f>
        <v>98648400</v>
      </c>
      <c r="V79" s="537">
        <f>U79/S79*100</f>
        <v>100</v>
      </c>
      <c r="W79" s="918">
        <v>61344080</v>
      </c>
      <c r="X79" s="615">
        <f>W79/S79*100</f>
        <v>62.184566602195268</v>
      </c>
      <c r="Y79" s="815">
        <f>S79-W79-AA79</f>
        <v>37304320</v>
      </c>
      <c r="Z79" s="624">
        <f>Y79/F79*100</f>
        <v>37.620937812631105</v>
      </c>
      <c r="AA79" s="632">
        <v>0</v>
      </c>
      <c r="AB79" s="632">
        <f>AA79/S79*100</f>
        <v>0</v>
      </c>
      <c r="AC79" s="878">
        <f>W79+Y79+AA79</f>
        <v>98648400</v>
      </c>
      <c r="AD79" s="353"/>
      <c r="AE79" s="353"/>
      <c r="AF79" s="353"/>
      <c r="AG79" s="311" t="e">
        <f>X79+Z79+#REF!</f>
        <v>#REF!</v>
      </c>
      <c r="AH79" s="492">
        <v>11558784</v>
      </c>
      <c r="AI79" s="500">
        <f>W79-AH79</f>
        <v>49785296</v>
      </c>
    </row>
    <row r="80" spans="1:35" s="221" customFormat="1" ht="61.5" hidden="1" customHeight="1" x14ac:dyDescent="0.6">
      <c r="A80" s="355">
        <v>15</v>
      </c>
      <c r="B80" s="356" t="s">
        <v>295</v>
      </c>
      <c r="C80" s="356" t="s">
        <v>296</v>
      </c>
      <c r="D80" s="357">
        <f>SUM(D81:D82)</f>
        <v>1288400</v>
      </c>
      <c r="E80" s="357">
        <f>SUM(E81:E82)</f>
        <v>0</v>
      </c>
      <c r="F80" s="357">
        <f>SUM(F81:F82)</f>
        <v>1288400</v>
      </c>
      <c r="G80" s="358"/>
      <c r="H80" s="358"/>
      <c r="I80" s="358"/>
      <c r="J80" s="358"/>
      <c r="K80" s="358"/>
      <c r="L80" s="358"/>
      <c r="M80" s="359"/>
      <c r="N80" s="357">
        <f>SUM(N81:N82)</f>
        <v>176600</v>
      </c>
      <c r="O80" s="357"/>
      <c r="P80" s="357"/>
      <c r="Q80" s="357">
        <f>SUM(Q81:Q82)</f>
        <v>1288400</v>
      </c>
      <c r="R80" s="357">
        <f>SUM(R81:R82)</f>
        <v>0</v>
      </c>
      <c r="S80" s="357">
        <f>SUM(S81:S82)</f>
        <v>1288400</v>
      </c>
      <c r="T80" s="357"/>
      <c r="U80" s="357"/>
      <c r="V80" s="357"/>
      <c r="W80" s="357">
        <f>SUM(W81:W82)</f>
        <v>176600</v>
      </c>
      <c r="X80" s="357"/>
      <c r="Y80" s="357">
        <f>SUM(Y81:Y82)</f>
        <v>1111800</v>
      </c>
      <c r="Z80" s="357"/>
      <c r="AA80" s="357"/>
      <c r="AB80" s="357"/>
      <c r="AC80" s="360"/>
      <c r="AD80" s="206"/>
      <c r="AE80" s="206"/>
      <c r="AF80" s="206"/>
    </row>
    <row r="81" spans="1:32" s="221" customFormat="1" ht="99" hidden="1" customHeight="1" x14ac:dyDescent="0.6">
      <c r="A81" s="219"/>
      <c r="B81" s="361" t="s">
        <v>294</v>
      </c>
      <c r="C81" s="361" t="s">
        <v>298</v>
      </c>
      <c r="D81" s="362">
        <v>496000</v>
      </c>
      <c r="E81" s="362">
        <v>0</v>
      </c>
      <c r="F81" s="362">
        <f>D81+E81</f>
        <v>496000</v>
      </c>
      <c r="G81" s="363">
        <v>2</v>
      </c>
      <c r="H81" s="363">
        <v>3</v>
      </c>
      <c r="I81" s="363"/>
      <c r="J81" s="363"/>
      <c r="K81" s="363">
        <v>2</v>
      </c>
      <c r="L81" s="363"/>
      <c r="M81" s="364" t="s">
        <v>185</v>
      </c>
      <c r="N81" s="362">
        <v>176600</v>
      </c>
      <c r="O81" s="362"/>
      <c r="P81" s="362"/>
      <c r="Q81" s="362">
        <v>496000</v>
      </c>
      <c r="R81" s="362">
        <v>0</v>
      </c>
      <c r="S81" s="362">
        <f>Q81+R81</f>
        <v>496000</v>
      </c>
      <c r="T81" s="362"/>
      <c r="U81" s="362"/>
      <c r="V81" s="362"/>
      <c r="W81" s="362">
        <v>176600</v>
      </c>
      <c r="X81" s="362"/>
      <c r="Y81" s="362">
        <f>F81-W81</f>
        <v>319400</v>
      </c>
      <c r="Z81" s="362"/>
      <c r="AA81" s="362"/>
      <c r="AB81" s="362"/>
      <c r="AC81" s="365" t="s">
        <v>394</v>
      </c>
      <c r="AD81" s="223"/>
      <c r="AE81" s="223"/>
      <c r="AF81" s="223"/>
    </row>
    <row r="82" spans="1:32" s="221" customFormat="1" ht="93.75" hidden="1" customHeight="1" x14ac:dyDescent="0.6">
      <c r="A82" s="219"/>
      <c r="B82" s="361" t="s">
        <v>297</v>
      </c>
      <c r="C82" s="361" t="s">
        <v>296</v>
      </c>
      <c r="D82" s="362">
        <v>792400</v>
      </c>
      <c r="E82" s="362">
        <v>0</v>
      </c>
      <c r="F82" s="362">
        <f>D82+E82</f>
        <v>792400</v>
      </c>
      <c r="G82" s="363">
        <v>1</v>
      </c>
      <c r="H82" s="363">
        <v>5</v>
      </c>
      <c r="I82" s="363"/>
      <c r="J82" s="363"/>
      <c r="K82" s="363">
        <v>2</v>
      </c>
      <c r="L82" s="363"/>
      <c r="M82" s="364" t="s">
        <v>185</v>
      </c>
      <c r="N82" s="362">
        <v>0</v>
      </c>
      <c r="O82" s="362"/>
      <c r="P82" s="362"/>
      <c r="Q82" s="362">
        <v>792400</v>
      </c>
      <c r="R82" s="362">
        <v>0</v>
      </c>
      <c r="S82" s="362">
        <f>Q82+R82</f>
        <v>792400</v>
      </c>
      <c r="T82" s="362"/>
      <c r="U82" s="362"/>
      <c r="V82" s="362"/>
      <c r="W82" s="362">
        <v>0</v>
      </c>
      <c r="X82" s="362"/>
      <c r="Y82" s="362">
        <v>792400</v>
      </c>
      <c r="Z82" s="362"/>
      <c r="AA82" s="362"/>
      <c r="AB82" s="362"/>
      <c r="AC82" s="365" t="s">
        <v>337</v>
      </c>
      <c r="AD82" s="223"/>
      <c r="AE82" s="223"/>
      <c r="AF82" s="223"/>
    </row>
    <row r="83" spans="1:32" s="221" customFormat="1" ht="168.75" hidden="1" x14ac:dyDescent="0.6">
      <c r="A83" s="205">
        <v>16</v>
      </c>
      <c r="B83" s="366" t="s">
        <v>299</v>
      </c>
      <c r="C83" s="366" t="s">
        <v>300</v>
      </c>
      <c r="D83" s="367">
        <f>SUM(D84:D84)</f>
        <v>0</v>
      </c>
      <c r="E83" s="367">
        <f>SUM(E84:E84)</f>
        <v>27870000</v>
      </c>
      <c r="F83" s="367">
        <f>SUM(F84:F84)</f>
        <v>27870000</v>
      </c>
      <c r="G83" s="368"/>
      <c r="H83" s="368"/>
      <c r="I83" s="368"/>
      <c r="J83" s="368"/>
      <c r="K83" s="368"/>
      <c r="L83" s="368"/>
      <c r="M83" s="369"/>
      <c r="N83" s="367">
        <f>SUM(N84:N84)</f>
        <v>0</v>
      </c>
      <c r="O83" s="367"/>
      <c r="P83" s="367"/>
      <c r="Q83" s="367">
        <f>SUM(Q84:Q84)</f>
        <v>0</v>
      </c>
      <c r="R83" s="367">
        <f>SUM(R84:R84)</f>
        <v>27870000</v>
      </c>
      <c r="S83" s="367">
        <f>SUM(S84:S84)</f>
        <v>27870000</v>
      </c>
      <c r="T83" s="367"/>
      <c r="U83" s="367"/>
      <c r="V83" s="367"/>
      <c r="W83" s="367">
        <f>SUM(W84:W84)</f>
        <v>0</v>
      </c>
      <c r="X83" s="367"/>
      <c r="Y83" s="367">
        <f>SUM(Y84:Y84)</f>
        <v>27870000</v>
      </c>
      <c r="Z83" s="367"/>
      <c r="AA83" s="367"/>
      <c r="AB83" s="367"/>
      <c r="AC83" s="370"/>
      <c r="AD83" s="206"/>
      <c r="AE83" s="206"/>
      <c r="AF83" s="206"/>
    </row>
    <row r="84" spans="1:32" s="221" customFormat="1" ht="168.75" hidden="1" x14ac:dyDescent="0.6">
      <c r="A84" s="219"/>
      <c r="B84" s="361" t="s">
        <v>388</v>
      </c>
      <c r="C84" s="361"/>
      <c r="D84" s="362"/>
      <c r="E84" s="362">
        <v>27870000</v>
      </c>
      <c r="F84" s="362">
        <f>D84+E84</f>
        <v>27870000</v>
      </c>
      <c r="G84" s="363"/>
      <c r="H84" s="363"/>
      <c r="I84" s="363">
        <v>12</v>
      </c>
      <c r="J84" s="363">
        <v>9</v>
      </c>
      <c r="K84" s="363"/>
      <c r="L84" s="363">
        <v>5</v>
      </c>
      <c r="M84" s="364" t="s">
        <v>185</v>
      </c>
      <c r="N84" s="362">
        <v>0</v>
      </c>
      <c r="O84" s="362"/>
      <c r="P84" s="362"/>
      <c r="Q84" s="362"/>
      <c r="R84" s="362">
        <v>27870000</v>
      </c>
      <c r="S84" s="362">
        <f>Q84+R84</f>
        <v>27870000</v>
      </c>
      <c r="T84" s="362"/>
      <c r="U84" s="362"/>
      <c r="V84" s="362"/>
      <c r="W84" s="362">
        <v>0</v>
      </c>
      <c r="X84" s="362"/>
      <c r="Y84" s="362">
        <v>27870000</v>
      </c>
      <c r="Z84" s="362"/>
      <c r="AA84" s="362"/>
      <c r="AB84" s="362"/>
      <c r="AC84" s="365" t="s">
        <v>353</v>
      </c>
      <c r="AD84" s="223"/>
      <c r="AE84" s="223"/>
      <c r="AF84" s="223"/>
    </row>
    <row r="85" spans="1:32" s="221" customFormat="1" ht="135" hidden="1" x14ac:dyDescent="0.6">
      <c r="A85" s="205">
        <v>17</v>
      </c>
      <c r="B85" s="366" t="s">
        <v>301</v>
      </c>
      <c r="C85" s="366" t="s">
        <v>300</v>
      </c>
      <c r="D85" s="367">
        <f>SUM(D86:D86)</f>
        <v>0</v>
      </c>
      <c r="E85" s="367">
        <f>SUM(E86:E86)</f>
        <v>26400000</v>
      </c>
      <c r="F85" s="367">
        <f>SUM(F86:F86)</f>
        <v>26400000</v>
      </c>
      <c r="G85" s="368"/>
      <c r="H85" s="368"/>
      <c r="I85" s="368"/>
      <c r="J85" s="368"/>
      <c r="K85" s="368"/>
      <c r="L85" s="368"/>
      <c r="M85" s="369"/>
      <c r="N85" s="367">
        <f>SUM(N86:N86)</f>
        <v>0</v>
      </c>
      <c r="O85" s="367"/>
      <c r="P85" s="367"/>
      <c r="Q85" s="367">
        <f>SUM(Q86:Q86)</f>
        <v>0</v>
      </c>
      <c r="R85" s="367">
        <f>SUM(R86:R86)</f>
        <v>26400000</v>
      </c>
      <c r="S85" s="367">
        <f>SUM(S86:S86)</f>
        <v>26400000</v>
      </c>
      <c r="T85" s="367"/>
      <c r="U85" s="367"/>
      <c r="V85" s="367"/>
      <c r="W85" s="367">
        <f>SUM(W86:W86)</f>
        <v>0</v>
      </c>
      <c r="X85" s="367"/>
      <c r="Y85" s="367">
        <f>SUM(Y86:Y86)</f>
        <v>26400000</v>
      </c>
      <c r="Z85" s="367"/>
      <c r="AA85" s="367"/>
      <c r="AB85" s="367"/>
      <c r="AC85" s="370"/>
      <c r="AD85" s="206"/>
      <c r="AE85" s="206"/>
      <c r="AF85" s="206"/>
    </row>
    <row r="86" spans="1:32" s="221" customFormat="1" ht="50.25" hidden="1" customHeight="1" x14ac:dyDescent="0.6">
      <c r="A86" s="219"/>
      <c r="B86" s="361" t="s">
        <v>405</v>
      </c>
      <c r="C86" s="361"/>
      <c r="D86" s="362"/>
      <c r="E86" s="362">
        <v>26400000</v>
      </c>
      <c r="F86" s="362">
        <f>D86+E86</f>
        <v>26400000</v>
      </c>
      <c r="G86" s="363"/>
      <c r="H86" s="363"/>
      <c r="I86" s="363">
        <v>12</v>
      </c>
      <c r="J86" s="363">
        <v>9</v>
      </c>
      <c r="K86" s="363"/>
      <c r="L86" s="363">
        <v>5</v>
      </c>
      <c r="M86" s="364" t="s">
        <v>185</v>
      </c>
      <c r="N86" s="362">
        <v>0</v>
      </c>
      <c r="O86" s="362"/>
      <c r="P86" s="362"/>
      <c r="Q86" s="362"/>
      <c r="R86" s="362">
        <v>26400000</v>
      </c>
      <c r="S86" s="362">
        <f>Q86+R86</f>
        <v>26400000</v>
      </c>
      <c r="T86" s="362"/>
      <c r="U86" s="362"/>
      <c r="V86" s="362"/>
      <c r="W86" s="362">
        <v>0</v>
      </c>
      <c r="X86" s="362"/>
      <c r="Y86" s="362">
        <v>26400000</v>
      </c>
      <c r="Z86" s="362"/>
      <c r="AA86" s="362"/>
      <c r="AB86" s="362"/>
      <c r="AC86" s="365" t="s">
        <v>354</v>
      </c>
      <c r="AD86" s="223"/>
      <c r="AE86" s="223"/>
      <c r="AF86" s="223"/>
    </row>
    <row r="87" spans="1:32" s="221" customFormat="1" ht="168.75" hidden="1" x14ac:dyDescent="0.6">
      <c r="A87" s="205">
        <v>18</v>
      </c>
      <c r="B87" s="366" t="s">
        <v>302</v>
      </c>
      <c r="C87" s="366" t="s">
        <v>300</v>
      </c>
      <c r="D87" s="367">
        <f>SUM(D88:D88)</f>
        <v>0</v>
      </c>
      <c r="E87" s="367">
        <f>E88</f>
        <v>17610000</v>
      </c>
      <c r="F87" s="367">
        <f>F88</f>
        <v>17610000</v>
      </c>
      <c r="G87" s="368"/>
      <c r="H87" s="368"/>
      <c r="I87" s="368"/>
      <c r="J87" s="368"/>
      <c r="K87" s="368"/>
      <c r="L87" s="368"/>
      <c r="M87" s="369"/>
      <c r="N87" s="367">
        <f>SUM(N88:N90)</f>
        <v>0</v>
      </c>
      <c r="O87" s="367"/>
      <c r="P87" s="367"/>
      <c r="Q87" s="367">
        <f>SUM(Q88:Q88)</f>
        <v>0</v>
      </c>
      <c r="R87" s="367">
        <f>R88</f>
        <v>17610000</v>
      </c>
      <c r="S87" s="367">
        <f>S88</f>
        <v>17610000</v>
      </c>
      <c r="T87" s="367"/>
      <c r="U87" s="367"/>
      <c r="V87" s="367"/>
      <c r="W87" s="367">
        <f>SUM(W88:W90)</f>
        <v>0</v>
      </c>
      <c r="X87" s="367"/>
      <c r="Y87" s="367">
        <v>17610000</v>
      </c>
      <c r="Z87" s="367"/>
      <c r="AA87" s="367"/>
      <c r="AB87" s="367"/>
      <c r="AC87" s="370"/>
      <c r="AD87" s="206"/>
      <c r="AE87" s="206"/>
      <c r="AF87" s="206"/>
    </row>
    <row r="88" spans="1:32" s="221" customFormat="1" ht="135" hidden="1" x14ac:dyDescent="0.6">
      <c r="A88" s="219"/>
      <c r="B88" s="361" t="s">
        <v>303</v>
      </c>
      <c r="C88" s="361"/>
      <c r="D88" s="362"/>
      <c r="E88" s="362">
        <v>17610000</v>
      </c>
      <c r="F88" s="362">
        <f>D88+E88</f>
        <v>17610000</v>
      </c>
      <c r="G88" s="363"/>
      <c r="H88" s="363"/>
      <c r="I88" s="363">
        <v>12</v>
      </c>
      <c r="J88" s="363">
        <v>9</v>
      </c>
      <c r="K88" s="363"/>
      <c r="L88" s="363">
        <v>5</v>
      </c>
      <c r="M88" s="364" t="s">
        <v>185</v>
      </c>
      <c r="N88" s="362">
        <v>0</v>
      </c>
      <c r="O88" s="362"/>
      <c r="P88" s="362"/>
      <c r="Q88" s="362"/>
      <c r="R88" s="362">
        <v>17610000</v>
      </c>
      <c r="S88" s="362">
        <f>Q88+R88</f>
        <v>17610000</v>
      </c>
      <c r="T88" s="362"/>
      <c r="U88" s="362"/>
      <c r="V88" s="362"/>
      <c r="W88" s="362">
        <v>0</v>
      </c>
      <c r="X88" s="362"/>
      <c r="Y88" s="362">
        <v>17610000</v>
      </c>
      <c r="Z88" s="362"/>
      <c r="AA88" s="362"/>
      <c r="AB88" s="362"/>
      <c r="AC88" s="365" t="s">
        <v>355</v>
      </c>
      <c r="AD88" s="223"/>
      <c r="AE88" s="223"/>
      <c r="AF88" s="223"/>
    </row>
    <row r="89" spans="1:32" s="221" customFormat="1" ht="168.75" hidden="1" x14ac:dyDescent="0.6">
      <c r="A89" s="205">
        <v>19</v>
      </c>
      <c r="B89" s="366" t="s">
        <v>304</v>
      </c>
      <c r="C89" s="366" t="s">
        <v>300</v>
      </c>
      <c r="D89" s="367">
        <f>SUM(D90:D90)</f>
        <v>0</v>
      </c>
      <c r="E89" s="367">
        <v>25990000</v>
      </c>
      <c r="F89" s="367">
        <f>F90</f>
        <v>25990000</v>
      </c>
      <c r="G89" s="368"/>
      <c r="H89" s="368"/>
      <c r="I89" s="368"/>
      <c r="J89" s="368"/>
      <c r="K89" s="368"/>
      <c r="L89" s="368"/>
      <c r="M89" s="369"/>
      <c r="N89" s="367">
        <f>SUM(N90:N93)</f>
        <v>0</v>
      </c>
      <c r="O89" s="367"/>
      <c r="P89" s="367"/>
      <c r="Q89" s="367">
        <f>SUM(Q90:Q90)</f>
        <v>0</v>
      </c>
      <c r="R89" s="367">
        <v>25990000</v>
      </c>
      <c r="S89" s="367">
        <f>S90</f>
        <v>25990000</v>
      </c>
      <c r="T89" s="367"/>
      <c r="U89" s="367"/>
      <c r="V89" s="367"/>
      <c r="W89" s="367">
        <f>SUM(W90:W93)</f>
        <v>0</v>
      </c>
      <c r="X89" s="367"/>
      <c r="Y89" s="367">
        <f>SUM(Y90:Y93)</f>
        <v>25990000</v>
      </c>
      <c r="Z89" s="367"/>
      <c r="AA89" s="367"/>
      <c r="AB89" s="367"/>
      <c r="AC89" s="370"/>
      <c r="AD89" s="206"/>
      <c r="AE89" s="206"/>
      <c r="AF89" s="206"/>
    </row>
    <row r="90" spans="1:32" s="225" customFormat="1" ht="78" hidden="1" customHeight="1" x14ac:dyDescent="0.55000000000000004">
      <c r="A90" s="371"/>
      <c r="B90" s="361" t="s">
        <v>389</v>
      </c>
      <c r="C90" s="361"/>
      <c r="D90" s="362"/>
      <c r="E90" s="362">
        <v>25990000</v>
      </c>
      <c r="F90" s="362">
        <f>D90+E90</f>
        <v>25990000</v>
      </c>
      <c r="G90" s="363"/>
      <c r="H90" s="363"/>
      <c r="I90" s="363">
        <v>12</v>
      </c>
      <c r="J90" s="363">
        <v>9</v>
      </c>
      <c r="K90" s="363"/>
      <c r="L90" s="363">
        <v>5</v>
      </c>
      <c r="M90" s="364" t="s">
        <v>185</v>
      </c>
      <c r="N90" s="362">
        <v>0</v>
      </c>
      <c r="O90" s="362"/>
      <c r="P90" s="362"/>
      <c r="Q90" s="362"/>
      <c r="R90" s="362">
        <v>25990000</v>
      </c>
      <c r="S90" s="362">
        <f>Q90+R90</f>
        <v>25990000</v>
      </c>
      <c r="T90" s="362"/>
      <c r="U90" s="362"/>
      <c r="V90" s="362"/>
      <c r="W90" s="362">
        <v>0</v>
      </c>
      <c r="X90" s="362"/>
      <c r="Y90" s="362">
        <v>25990000</v>
      </c>
      <c r="Z90" s="362"/>
      <c r="AA90" s="362"/>
      <c r="AB90" s="362"/>
      <c r="AC90" s="365" t="s">
        <v>356</v>
      </c>
      <c r="AD90" s="224"/>
      <c r="AE90" s="224"/>
      <c r="AF90" s="224"/>
    </row>
    <row r="91" spans="1:32" s="197" customFormat="1" ht="33.75" hidden="1" x14ac:dyDescent="0.6">
      <c r="A91" s="372"/>
      <c r="B91" s="373" t="s">
        <v>29</v>
      </c>
      <c r="C91" s="374"/>
      <c r="D91" s="375">
        <f>D8+D32+D58+D79</f>
        <v>37210000</v>
      </c>
      <c r="E91" s="375">
        <f>E8+E32+E58+E79</f>
        <v>182716100</v>
      </c>
      <c r="F91" s="375">
        <f>F8+F32+F58+F79</f>
        <v>219926100</v>
      </c>
      <c r="G91" s="376"/>
      <c r="H91" s="376"/>
      <c r="I91" s="376"/>
      <c r="J91" s="376"/>
      <c r="K91" s="376"/>
      <c r="L91" s="376"/>
      <c r="M91" s="377"/>
      <c r="N91" s="378"/>
      <c r="O91" s="378"/>
      <c r="P91" s="378"/>
      <c r="Q91" s="375">
        <f>Q8+Q32+Q58+Q79</f>
        <v>38563000</v>
      </c>
      <c r="R91" s="375">
        <f>R8+R32+R58+R79</f>
        <v>181363100</v>
      </c>
      <c r="S91" s="375">
        <f>S8+S32+S58+S79</f>
        <v>219926100</v>
      </c>
      <c r="T91" s="378"/>
      <c r="U91" s="378"/>
      <c r="V91" s="378"/>
      <c r="W91" s="378"/>
      <c r="X91" s="378"/>
      <c r="Y91" s="378"/>
      <c r="Z91" s="378"/>
      <c r="AA91" s="378"/>
      <c r="AB91" s="378"/>
      <c r="AC91" s="379"/>
      <c r="AD91" s="380"/>
      <c r="AE91" s="380"/>
      <c r="AF91" s="380"/>
    </row>
    <row r="92" spans="1:32" ht="18.95" hidden="1" customHeight="1" x14ac:dyDescent="0.8">
      <c r="A92" s="226"/>
      <c r="B92" s="381"/>
      <c r="C92" s="381"/>
      <c r="D92" s="382"/>
      <c r="E92" s="382"/>
      <c r="F92" s="382"/>
      <c r="G92" s="186"/>
      <c r="H92" s="383"/>
      <c r="I92" s="383"/>
      <c r="J92" s="383"/>
      <c r="K92" s="186"/>
      <c r="L92" s="186"/>
      <c r="M92" s="186"/>
      <c r="N92" s="186"/>
      <c r="O92" s="186"/>
      <c r="P92" s="186"/>
      <c r="Q92" s="382"/>
      <c r="R92" s="382"/>
      <c r="S92" s="382"/>
      <c r="T92" s="186"/>
      <c r="U92" s="186"/>
      <c r="V92" s="186"/>
      <c r="W92" s="186"/>
      <c r="X92" s="186"/>
      <c r="Y92" s="186"/>
      <c r="Z92" s="186"/>
      <c r="AA92" s="186"/>
      <c r="AB92" s="186"/>
      <c r="AC92" s="186"/>
    </row>
    <row r="93" spans="1:32" ht="35.25" hidden="1" customHeight="1" x14ac:dyDescent="0.8">
      <c r="A93" s="226"/>
      <c r="B93" s="1325" t="s">
        <v>206</v>
      </c>
      <c r="C93" s="1325"/>
      <c r="D93" s="1325"/>
      <c r="E93" s="1325"/>
      <c r="F93" s="1325"/>
      <c r="G93" s="1325"/>
      <c r="H93" s="1325"/>
      <c r="I93" s="1325"/>
      <c r="J93" s="1325"/>
      <c r="K93" s="1325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  <c r="AC93" s="186"/>
    </row>
    <row r="94" spans="1:32" ht="32.25" hidden="1" customHeight="1" x14ac:dyDescent="0.8">
      <c r="A94" s="226"/>
      <c r="B94" s="1326" t="s">
        <v>199</v>
      </c>
      <c r="C94" s="1328" t="s">
        <v>208</v>
      </c>
      <c r="D94" s="1329"/>
      <c r="E94" s="1328" t="s">
        <v>202</v>
      </c>
      <c r="F94" s="1330"/>
      <c r="G94" s="1329"/>
      <c r="H94" s="1325" t="s">
        <v>203</v>
      </c>
      <c r="I94" s="1325"/>
      <c r="J94" s="1325"/>
      <c r="K94" s="1325"/>
      <c r="L94" s="186"/>
      <c r="M94" s="186"/>
      <c r="N94" s="186"/>
      <c r="O94" s="186"/>
      <c r="P94" s="186"/>
      <c r="Q94" s="186"/>
      <c r="R94" s="186"/>
      <c r="S94" s="186"/>
      <c r="T94" s="186"/>
      <c r="U94" s="186"/>
      <c r="V94" s="186"/>
      <c r="W94" s="186"/>
      <c r="X94" s="186"/>
      <c r="Y94" s="186"/>
      <c r="Z94" s="186"/>
      <c r="AA94" s="186"/>
      <c r="AB94" s="186"/>
      <c r="AC94" s="186"/>
    </row>
    <row r="95" spans="1:32" ht="36" hidden="1" customHeight="1" x14ac:dyDescent="0.8">
      <c r="A95" s="226"/>
      <c r="B95" s="1327"/>
      <c r="C95" s="384" t="s">
        <v>200</v>
      </c>
      <c r="D95" s="384" t="s">
        <v>201</v>
      </c>
      <c r="E95" s="384" t="s">
        <v>200</v>
      </c>
      <c r="F95" s="1328" t="s">
        <v>201</v>
      </c>
      <c r="G95" s="1329"/>
      <c r="H95" s="1328" t="s">
        <v>200</v>
      </c>
      <c r="I95" s="1329"/>
      <c r="J95" s="1328" t="s">
        <v>201</v>
      </c>
      <c r="K95" s="1329"/>
      <c r="L95" s="186"/>
      <c r="M95" s="186"/>
      <c r="N95" s="186"/>
      <c r="O95" s="186"/>
      <c r="P95" s="186"/>
      <c r="Q95" s="384" t="s">
        <v>201</v>
      </c>
      <c r="R95" s="384" t="s">
        <v>200</v>
      </c>
      <c r="S95" s="186"/>
      <c r="T95" s="186"/>
      <c r="U95" s="186"/>
      <c r="V95" s="186"/>
      <c r="W95" s="186"/>
      <c r="X95" s="186"/>
      <c r="Y95" s="186"/>
      <c r="Z95" s="186"/>
      <c r="AA95" s="186"/>
      <c r="AB95" s="186"/>
      <c r="AC95" s="186"/>
    </row>
    <row r="96" spans="1:32" ht="31.5" hidden="1" customHeight="1" x14ac:dyDescent="0.8">
      <c r="A96" s="226"/>
      <c r="B96" s="385" t="s">
        <v>205</v>
      </c>
      <c r="C96" s="386">
        <v>10</v>
      </c>
      <c r="D96" s="387">
        <f>D98-D97</f>
        <v>37210000</v>
      </c>
      <c r="E96" s="386">
        <v>0</v>
      </c>
      <c r="F96" s="1316">
        <v>0</v>
      </c>
      <c r="G96" s="1317"/>
      <c r="H96" s="1318">
        <v>0</v>
      </c>
      <c r="I96" s="1319"/>
      <c r="J96" s="1316">
        <v>0</v>
      </c>
      <c r="K96" s="1317"/>
      <c r="L96" s="186"/>
      <c r="M96" s="186"/>
      <c r="N96" s="186"/>
      <c r="O96" s="186"/>
      <c r="P96" s="186"/>
      <c r="Q96" s="387">
        <f>Q98-Q97</f>
        <v>37210000</v>
      </c>
      <c r="R96" s="386">
        <v>0</v>
      </c>
      <c r="S96" s="186"/>
      <c r="T96" s="186"/>
      <c r="U96" s="186"/>
      <c r="V96" s="186"/>
      <c r="W96" s="186"/>
      <c r="X96" s="186"/>
      <c r="Y96" s="186"/>
      <c r="Z96" s="186"/>
      <c r="AA96" s="186"/>
      <c r="AB96" s="186"/>
      <c r="AC96" s="186"/>
    </row>
    <row r="97" spans="1:29" ht="35.25" hidden="1" customHeight="1" x14ac:dyDescent="0.8">
      <c r="A97" s="226"/>
      <c r="B97" s="385" t="s">
        <v>204</v>
      </c>
      <c r="C97" s="386">
        <v>9</v>
      </c>
      <c r="D97" s="387">
        <v>182716100</v>
      </c>
      <c r="E97" s="386">
        <v>0</v>
      </c>
      <c r="F97" s="1316">
        <v>0</v>
      </c>
      <c r="G97" s="1317"/>
      <c r="H97" s="1318">
        <v>0</v>
      </c>
      <c r="I97" s="1319"/>
      <c r="J97" s="1316">
        <v>0</v>
      </c>
      <c r="K97" s="1317"/>
      <c r="L97" s="186"/>
      <c r="M97" s="186"/>
      <c r="N97" s="186"/>
      <c r="O97" s="186"/>
      <c r="P97" s="186"/>
      <c r="Q97" s="387">
        <v>182716100</v>
      </c>
      <c r="R97" s="386">
        <v>0</v>
      </c>
      <c r="S97" s="186"/>
      <c r="T97" s="186"/>
      <c r="U97" s="186"/>
      <c r="V97" s="186"/>
      <c r="W97" s="186"/>
      <c r="X97" s="186"/>
      <c r="Y97" s="186"/>
      <c r="Z97" s="186"/>
      <c r="AA97" s="186"/>
      <c r="AB97" s="186"/>
      <c r="AC97" s="186"/>
    </row>
    <row r="98" spans="1:29" ht="33.75" hidden="1" customHeight="1" x14ac:dyDescent="0.8">
      <c r="A98" s="226"/>
      <c r="B98" s="384" t="s">
        <v>29</v>
      </c>
      <c r="C98" s="386">
        <v>19</v>
      </c>
      <c r="D98" s="388">
        <v>219926100</v>
      </c>
      <c r="E98" s="386">
        <v>0</v>
      </c>
      <c r="F98" s="1316">
        <v>0</v>
      </c>
      <c r="G98" s="1317"/>
      <c r="H98" s="1318">
        <v>0</v>
      </c>
      <c r="I98" s="1319"/>
      <c r="J98" s="1316">
        <v>0</v>
      </c>
      <c r="K98" s="1317"/>
      <c r="L98" s="186"/>
      <c r="M98" s="186"/>
      <c r="N98" s="186"/>
      <c r="O98" s="186"/>
      <c r="P98" s="186"/>
      <c r="Q98" s="388">
        <v>219926100</v>
      </c>
      <c r="R98" s="386">
        <v>0</v>
      </c>
      <c r="S98" s="186"/>
      <c r="T98" s="186"/>
      <c r="U98" s="186"/>
      <c r="V98" s="186"/>
      <c r="W98" s="186"/>
      <c r="X98" s="186"/>
      <c r="Y98" s="186"/>
      <c r="Z98" s="186"/>
      <c r="AA98" s="186"/>
      <c r="AB98" s="186"/>
      <c r="AC98" s="186"/>
    </row>
    <row r="99" spans="1:29" ht="18.95" hidden="1" customHeight="1" x14ac:dyDescent="0.8">
      <c r="A99" s="226"/>
      <c r="B99" s="389"/>
      <c r="C99" s="389"/>
      <c r="D99" s="382"/>
      <c r="E99" s="382"/>
      <c r="F99" s="382"/>
      <c r="G99" s="186"/>
      <c r="H99" s="383"/>
      <c r="I99" s="383"/>
      <c r="J99" s="383"/>
      <c r="K99" s="186"/>
      <c r="L99" s="186"/>
      <c r="M99" s="186"/>
      <c r="N99" s="186"/>
      <c r="O99" s="186"/>
      <c r="P99" s="186"/>
      <c r="Q99" s="382"/>
      <c r="R99" s="382"/>
      <c r="S99" s="382"/>
      <c r="T99" s="186"/>
      <c r="U99" s="186"/>
      <c r="V99" s="186"/>
      <c r="W99" s="186"/>
      <c r="X99" s="186"/>
      <c r="Y99" s="186"/>
      <c r="Z99" s="186"/>
      <c r="AA99" s="186"/>
      <c r="AB99" s="186"/>
      <c r="AC99" s="186"/>
    </row>
    <row r="100" spans="1:29" ht="33.75" hidden="1" customHeight="1" x14ac:dyDescent="0.8">
      <c r="A100" s="226"/>
      <c r="B100" s="389"/>
      <c r="C100" s="390">
        <f>F91-D98</f>
        <v>0</v>
      </c>
      <c r="D100" s="382"/>
      <c r="E100" s="382"/>
      <c r="F100" s="382"/>
      <c r="G100" s="186"/>
      <c r="H100" s="383"/>
      <c r="I100" s="383"/>
      <c r="J100" s="383"/>
      <c r="K100" s="186"/>
      <c r="L100" s="186"/>
      <c r="M100" s="186"/>
      <c r="N100" s="186"/>
      <c r="O100" s="186"/>
      <c r="P100" s="186"/>
      <c r="Q100" s="382"/>
      <c r="R100" s="382"/>
      <c r="S100" s="382"/>
      <c r="T100" s="186"/>
      <c r="U100" s="186"/>
      <c r="V100" s="186"/>
      <c r="W100" s="186"/>
      <c r="X100" s="186"/>
      <c r="Y100" s="186"/>
      <c r="Z100" s="186"/>
      <c r="AA100" s="186"/>
      <c r="AB100" s="186"/>
      <c r="AC100" s="186"/>
    </row>
    <row r="101" spans="1:29" ht="18.95" hidden="1" customHeight="1" x14ac:dyDescent="0.8">
      <c r="A101" s="226"/>
      <c r="B101" s="389"/>
      <c r="C101" s="389"/>
      <c r="D101" s="382"/>
      <c r="E101" s="382"/>
      <c r="F101" s="382"/>
      <c r="G101" s="186"/>
      <c r="H101" s="383"/>
      <c r="I101" s="383"/>
      <c r="J101" s="383"/>
      <c r="K101" s="186"/>
      <c r="L101" s="186"/>
      <c r="M101" s="186"/>
      <c r="N101" s="186"/>
      <c r="O101" s="186"/>
      <c r="P101" s="186"/>
      <c r="Q101" s="382"/>
      <c r="R101" s="382"/>
      <c r="S101" s="382"/>
      <c r="T101" s="186"/>
      <c r="U101" s="186"/>
      <c r="V101" s="186"/>
      <c r="W101" s="186"/>
      <c r="X101" s="186"/>
      <c r="Y101" s="186"/>
      <c r="Z101" s="186"/>
      <c r="AA101" s="186"/>
      <c r="AB101" s="186"/>
      <c r="AC101" s="186"/>
    </row>
    <row r="102" spans="1:29" ht="18.95" hidden="1" customHeight="1" x14ac:dyDescent="0.8">
      <c r="A102" s="226"/>
      <c r="B102" s="389"/>
      <c r="C102" s="389"/>
      <c r="D102" s="382"/>
      <c r="E102" s="382"/>
      <c r="F102" s="382"/>
      <c r="G102" s="186"/>
      <c r="H102" s="383"/>
      <c r="I102" s="383"/>
      <c r="J102" s="383"/>
      <c r="K102" s="186"/>
      <c r="L102" s="186"/>
      <c r="M102" s="186"/>
      <c r="N102" s="186"/>
      <c r="O102" s="186"/>
      <c r="P102" s="186"/>
      <c r="Q102" s="382"/>
      <c r="R102" s="382"/>
      <c r="S102" s="382"/>
      <c r="T102" s="186"/>
      <c r="U102" s="186"/>
      <c r="V102" s="186"/>
      <c r="W102" s="186"/>
      <c r="X102" s="186"/>
      <c r="Y102" s="186"/>
      <c r="Z102" s="186"/>
      <c r="AA102" s="186"/>
      <c r="AB102" s="186"/>
      <c r="AC102" s="186"/>
    </row>
    <row r="103" spans="1:29" ht="18.95" hidden="1" customHeight="1" x14ac:dyDescent="0.8">
      <c r="A103" s="226"/>
      <c r="B103" s="389"/>
      <c r="C103" s="389"/>
      <c r="D103" s="382"/>
      <c r="E103" s="382"/>
      <c r="F103" s="382"/>
      <c r="G103" s="186"/>
      <c r="H103" s="383"/>
      <c r="I103" s="383"/>
      <c r="J103" s="383"/>
      <c r="K103" s="186"/>
      <c r="L103" s="186"/>
      <c r="M103" s="186"/>
      <c r="N103" s="186"/>
      <c r="O103" s="186"/>
      <c r="P103" s="186"/>
      <c r="Q103" s="382"/>
      <c r="R103" s="382"/>
      <c r="S103" s="382"/>
      <c r="T103" s="186"/>
      <c r="U103" s="186"/>
      <c r="V103" s="186"/>
      <c r="W103" s="186"/>
      <c r="X103" s="186"/>
      <c r="Y103" s="186"/>
      <c r="Z103" s="186"/>
      <c r="AA103" s="186"/>
      <c r="AB103" s="186"/>
      <c r="AC103" s="186"/>
    </row>
    <row r="104" spans="1:29" ht="18.95" hidden="1" customHeight="1" x14ac:dyDescent="0.8">
      <c r="A104" s="226"/>
      <c r="B104" s="389"/>
      <c r="C104" s="389"/>
      <c r="D104" s="382"/>
      <c r="E104" s="382"/>
      <c r="F104" s="382"/>
      <c r="G104" s="186"/>
      <c r="H104" s="383"/>
      <c r="I104" s="383"/>
      <c r="J104" s="383"/>
      <c r="K104" s="186"/>
      <c r="L104" s="186"/>
      <c r="M104" s="186"/>
      <c r="N104" s="186"/>
      <c r="O104" s="186"/>
      <c r="P104" s="186"/>
      <c r="Q104" s="382"/>
      <c r="R104" s="382"/>
      <c r="S104" s="382"/>
      <c r="T104" s="186"/>
      <c r="U104" s="186"/>
      <c r="V104" s="186"/>
      <c r="W104" s="186"/>
      <c r="X104" s="186"/>
      <c r="Y104" s="186"/>
      <c r="Z104" s="186"/>
      <c r="AA104" s="186"/>
      <c r="AB104" s="186"/>
      <c r="AC104" s="186"/>
    </row>
    <row r="105" spans="1:29" ht="33.75" hidden="1" customHeight="1" x14ac:dyDescent="0.8">
      <c r="A105" s="226"/>
      <c r="B105" s="389"/>
      <c r="C105" s="389"/>
      <c r="D105" s="382"/>
      <c r="E105" s="382"/>
      <c r="F105" s="382"/>
      <c r="G105" s="186"/>
      <c r="H105" s="383"/>
      <c r="I105" s="383"/>
      <c r="J105" s="383"/>
      <c r="K105" s="186"/>
      <c r="L105" s="186"/>
      <c r="M105" s="186"/>
      <c r="N105" s="186"/>
      <c r="O105" s="186"/>
      <c r="P105" s="186"/>
      <c r="Q105" s="382"/>
      <c r="R105" s="382"/>
      <c r="S105" s="382"/>
      <c r="T105" s="186"/>
      <c r="U105" s="186"/>
      <c r="V105" s="186"/>
      <c r="W105" s="186"/>
      <c r="X105" s="186"/>
      <c r="Y105" s="186"/>
      <c r="Z105" s="186"/>
      <c r="AA105" s="186"/>
      <c r="AB105" s="186"/>
      <c r="AC105" s="186"/>
    </row>
    <row r="106" spans="1:29" ht="18" hidden="1" customHeight="1" x14ac:dyDescent="0.8">
      <c r="A106" s="226"/>
      <c r="B106" s="389"/>
      <c r="C106" s="389"/>
      <c r="D106" s="382"/>
      <c r="E106" s="382"/>
      <c r="F106" s="382"/>
      <c r="G106" s="186"/>
      <c r="H106" s="383"/>
      <c r="I106" s="383"/>
      <c r="J106" s="383"/>
      <c r="K106" s="186"/>
      <c r="L106" s="186"/>
      <c r="M106" s="186"/>
      <c r="N106" s="186"/>
      <c r="O106" s="186"/>
      <c r="P106" s="186"/>
      <c r="Q106" s="382"/>
      <c r="R106" s="382"/>
      <c r="S106" s="382"/>
      <c r="T106" s="186"/>
      <c r="U106" s="186"/>
      <c r="V106" s="186"/>
      <c r="W106" s="186"/>
      <c r="X106" s="186"/>
      <c r="Y106" s="186"/>
      <c r="Z106" s="186"/>
      <c r="AA106" s="186"/>
      <c r="AB106" s="186"/>
      <c r="AC106" s="186"/>
    </row>
    <row r="107" spans="1:29" ht="41.25" hidden="1" customHeight="1" x14ac:dyDescent="0.8">
      <c r="A107" s="226"/>
      <c r="B107" s="391">
        <v>37210000</v>
      </c>
      <c r="C107" s="391"/>
      <c r="D107" s="298">
        <f>B107/B109*100</f>
        <v>16.919319716941281</v>
      </c>
      <c r="E107" s="391">
        <f>E109-E108</f>
        <v>6889997.2400000002</v>
      </c>
      <c r="F107" s="298">
        <f>E107/B107*100</f>
        <v>18.516520397742543</v>
      </c>
      <c r="G107" s="186"/>
      <c r="H107" s="383"/>
      <c r="I107" s="383"/>
      <c r="J107" s="383"/>
      <c r="K107" s="186"/>
      <c r="L107" s="186"/>
      <c r="M107" s="186"/>
      <c r="N107" s="186"/>
      <c r="O107" s="186"/>
      <c r="P107" s="186"/>
      <c r="Q107" s="298" t="e">
        <f>O107/O109*100</f>
        <v>#DIV/0!</v>
      </c>
      <c r="R107" s="391">
        <f>R109-R108</f>
        <v>6889997.2400000002</v>
      </c>
      <c r="S107" s="298" t="e">
        <f>R107/O107*100</f>
        <v>#DIV/0!</v>
      </c>
      <c r="T107" s="186"/>
      <c r="U107" s="186"/>
      <c r="V107" s="186"/>
      <c r="W107" s="298">
        <f>B107-E107</f>
        <v>30320002.759999998</v>
      </c>
      <c r="X107" s="298"/>
      <c r="Y107" s="382"/>
      <c r="Z107" s="186"/>
      <c r="AA107" s="186"/>
      <c r="AB107" s="186"/>
      <c r="AC107" s="382" t="e">
        <f>Y7+#REF!</f>
        <v>#REF!</v>
      </c>
    </row>
    <row r="108" spans="1:29" ht="34.5" hidden="1" customHeight="1" x14ac:dyDescent="0.8">
      <c r="A108" s="226"/>
      <c r="B108" s="392">
        <v>182716100</v>
      </c>
      <c r="C108" s="392"/>
      <c r="D108" s="298">
        <f>B108/B109*100</f>
        <v>83.080680283058712</v>
      </c>
      <c r="E108" s="392">
        <v>495000</v>
      </c>
      <c r="F108" s="298">
        <f>E108/B108*100</f>
        <v>0.27091208711219211</v>
      </c>
      <c r="G108" s="186"/>
      <c r="H108" s="383"/>
      <c r="I108" s="383"/>
      <c r="J108" s="383"/>
      <c r="K108" s="186"/>
      <c r="L108" s="186"/>
      <c r="M108" s="186"/>
      <c r="N108" s="186"/>
      <c r="O108" s="186"/>
      <c r="P108" s="186"/>
      <c r="Q108" s="298" t="e">
        <f>O108/O109*100</f>
        <v>#DIV/0!</v>
      </c>
      <c r="R108" s="392">
        <v>495000</v>
      </c>
      <c r="S108" s="298" t="e">
        <f>R108/O108*100</f>
        <v>#DIV/0!</v>
      </c>
      <c r="T108" s="186"/>
      <c r="U108" s="186"/>
      <c r="V108" s="186"/>
      <c r="W108" s="234">
        <f>B108-E108</f>
        <v>182221100</v>
      </c>
      <c r="X108" s="234"/>
      <c r="Y108" s="186"/>
      <c r="Z108" s="382"/>
      <c r="AA108" s="186"/>
      <c r="AB108" s="186"/>
      <c r="AC108" s="186" t="e">
        <f>AC107/F7*100</f>
        <v>#REF!</v>
      </c>
    </row>
    <row r="109" spans="1:29" ht="32.25" hidden="1" customHeight="1" x14ac:dyDescent="0.8">
      <c r="A109" s="226"/>
      <c r="B109" s="393">
        <f>B107+B108</f>
        <v>219926100</v>
      </c>
      <c r="C109" s="394"/>
      <c r="D109" s="395">
        <f>D107+D108</f>
        <v>100</v>
      </c>
      <c r="E109" s="393">
        <v>7384997.2400000002</v>
      </c>
      <c r="F109" s="395">
        <f>E109/B109*100</f>
        <v>3.3579448914885499</v>
      </c>
      <c r="G109" s="396"/>
      <c r="H109" s="397"/>
      <c r="I109" s="397"/>
      <c r="J109" s="397"/>
      <c r="K109" s="396"/>
      <c r="L109" s="396"/>
      <c r="M109" s="396"/>
      <c r="N109" s="396"/>
      <c r="O109" s="396"/>
      <c r="P109" s="396"/>
      <c r="Q109" s="395" t="e">
        <f>Q107+Q108</f>
        <v>#DIV/0!</v>
      </c>
      <c r="R109" s="393">
        <v>7384997.2400000002</v>
      </c>
      <c r="S109" s="395" t="e">
        <f>R109/O109*100</f>
        <v>#DIV/0!</v>
      </c>
      <c r="T109" s="396"/>
      <c r="U109" s="396"/>
      <c r="V109" s="396"/>
      <c r="W109" s="398">
        <f>B109-E109</f>
        <v>212541102.75999999</v>
      </c>
      <c r="X109" s="398"/>
      <c r="Y109" s="399" t="e">
        <f>F109+#REF!</f>
        <v>#REF!</v>
      </c>
      <c r="Z109" s="399">
        <f>E109+W109</f>
        <v>219926100</v>
      </c>
      <c r="AA109" s="186"/>
      <c r="AB109" s="186"/>
      <c r="AC109" s="186"/>
    </row>
    <row r="110" spans="1:29" ht="15.75" hidden="1" customHeight="1" x14ac:dyDescent="0.8">
      <c r="A110" s="226"/>
      <c r="B110" s="400"/>
      <c r="C110" s="400"/>
      <c r="D110" s="298"/>
      <c r="E110" s="400"/>
      <c r="F110" s="298"/>
      <c r="G110" s="186"/>
      <c r="H110" s="383"/>
      <c r="I110" s="383"/>
      <c r="J110" s="383"/>
      <c r="K110" s="186"/>
      <c r="L110" s="186"/>
      <c r="M110" s="186"/>
      <c r="N110" s="186"/>
      <c r="O110" s="186"/>
      <c r="P110" s="186"/>
      <c r="Q110" s="298"/>
      <c r="R110" s="400"/>
      <c r="S110" s="298"/>
      <c r="T110" s="186"/>
      <c r="U110" s="186"/>
      <c r="V110" s="186"/>
      <c r="W110" s="186"/>
      <c r="X110" s="186"/>
      <c r="Y110" s="186"/>
      <c r="Z110" s="186"/>
      <c r="AA110" s="186"/>
      <c r="AB110" s="186"/>
      <c r="AC110" s="186"/>
    </row>
    <row r="111" spans="1:29" ht="27.75" hidden="1" customHeight="1" x14ac:dyDescent="0.8">
      <c r="A111" s="233"/>
      <c r="B111" s="401"/>
      <c r="C111" s="401"/>
      <c r="D111" s="401"/>
      <c r="E111" s="402" t="s">
        <v>448</v>
      </c>
      <c r="F111" s="195"/>
      <c r="G111" s="383"/>
      <c r="H111" s="383"/>
      <c r="I111" s="383"/>
      <c r="J111" s="383"/>
      <c r="K111" s="383"/>
      <c r="L111" s="383"/>
      <c r="M111" s="383"/>
      <c r="N111" s="383"/>
      <c r="O111" s="383"/>
      <c r="P111" s="383"/>
      <c r="Q111" s="401"/>
      <c r="R111" s="402" t="s">
        <v>448</v>
      </c>
      <c r="S111" s="195"/>
      <c r="T111" s="383"/>
      <c r="U111" s="383"/>
      <c r="V111" s="383"/>
      <c r="W111" s="403" t="s">
        <v>421</v>
      </c>
      <c r="X111" s="403"/>
      <c r="Y111" s="186"/>
      <c r="Z111" s="186"/>
      <c r="AA111" s="186"/>
      <c r="AB111" s="186"/>
      <c r="AC111" s="186"/>
    </row>
    <row r="112" spans="1:29" ht="33.75" hidden="1" x14ac:dyDescent="0.8">
      <c r="A112" s="228"/>
      <c r="B112" s="404" t="s">
        <v>447</v>
      </c>
      <c r="C112" s="405"/>
      <c r="D112" s="405">
        <v>57420216</v>
      </c>
      <c r="E112" s="405">
        <v>209237.5</v>
      </c>
      <c r="F112" s="298"/>
      <c r="G112" s="186"/>
      <c r="H112" s="383"/>
      <c r="I112" s="383"/>
      <c r="J112" s="383"/>
      <c r="K112" s="186"/>
      <c r="L112" s="186"/>
      <c r="M112" s="186"/>
      <c r="N112" s="186"/>
      <c r="O112" s="186"/>
      <c r="P112" s="186"/>
      <c r="Q112" s="405">
        <v>57420216</v>
      </c>
      <c r="R112" s="405">
        <v>209237.5</v>
      </c>
      <c r="S112" s="298"/>
      <c r="T112" s="186"/>
      <c r="U112" s="186"/>
      <c r="V112" s="186"/>
      <c r="W112" s="406">
        <f>D112-E112</f>
        <v>57210978.5</v>
      </c>
      <c r="X112" s="406"/>
      <c r="Y112" s="186"/>
      <c r="Z112" s="186"/>
      <c r="AA112" s="186"/>
      <c r="AB112" s="186"/>
      <c r="AC112" s="234">
        <f>W7+E112</f>
        <v>151223938.79000002</v>
      </c>
    </row>
    <row r="113" spans="1:36" ht="54.75" hidden="1" customHeight="1" x14ac:dyDescent="0.8">
      <c r="A113" s="228"/>
      <c r="B113" s="298"/>
      <c r="C113" s="298"/>
      <c r="D113" s="298"/>
      <c r="E113" s="298">
        <f>E112/D112*100</f>
        <v>0.36439692250548134</v>
      </c>
      <c r="F113" s="298"/>
      <c r="G113" s="186"/>
      <c r="H113" s="383"/>
      <c r="I113" s="383"/>
      <c r="J113" s="383"/>
      <c r="K113" s="186"/>
      <c r="L113" s="186"/>
      <c r="M113" s="186"/>
      <c r="N113" s="186"/>
      <c r="O113" s="186"/>
      <c r="P113" s="186"/>
      <c r="Q113" s="298"/>
      <c r="R113" s="298">
        <f>R112/Q112*100</f>
        <v>0.36439692250548134</v>
      </c>
      <c r="S113" s="298"/>
      <c r="T113" s="186"/>
      <c r="U113" s="186"/>
      <c r="V113" s="186"/>
      <c r="W113" s="407">
        <f>W112/D112*100</f>
        <v>99.635603077494522</v>
      </c>
      <c r="X113" s="407"/>
      <c r="Y113" s="186"/>
      <c r="Z113" s="186"/>
      <c r="AA113" s="186"/>
      <c r="AB113" s="186"/>
      <c r="AC113" s="298">
        <f>8010655.74</f>
        <v>8010655.7400000002</v>
      </c>
    </row>
    <row r="114" spans="1:36" ht="33.75" hidden="1" x14ac:dyDescent="0.8">
      <c r="A114" s="228"/>
      <c r="B114" s="298"/>
      <c r="C114" s="298"/>
      <c r="D114" s="298"/>
      <c r="E114" s="408">
        <f>W7+E112</f>
        <v>151223938.79000002</v>
      </c>
      <c r="F114" s="298"/>
      <c r="G114" s="186"/>
      <c r="H114" s="383"/>
      <c r="I114" s="383"/>
      <c r="J114" s="383"/>
      <c r="K114" s="186"/>
      <c r="L114" s="186"/>
      <c r="M114" s="186"/>
      <c r="N114" s="186"/>
      <c r="O114" s="186"/>
      <c r="P114" s="186"/>
      <c r="Q114" s="298"/>
      <c r="R114" s="408">
        <f>AH7+R112</f>
        <v>41618638.170000002</v>
      </c>
      <c r="S114" s="298"/>
      <c r="T114" s="186"/>
      <c r="U114" s="186"/>
      <c r="V114" s="186"/>
      <c r="W114" s="186"/>
      <c r="X114" s="186"/>
      <c r="Y114" s="186"/>
      <c r="Z114" s="186"/>
      <c r="AA114" s="186"/>
      <c r="AB114" s="186"/>
      <c r="AC114" s="234">
        <f>AC112-AC113</f>
        <v>143213283.05000001</v>
      </c>
    </row>
    <row r="115" spans="1:36" ht="33.75" hidden="1" x14ac:dyDescent="0.8">
      <c r="A115" s="228"/>
      <c r="B115" s="186"/>
      <c r="C115" s="186"/>
      <c r="D115" s="382"/>
      <c r="E115" s="382"/>
      <c r="F115" s="382"/>
      <c r="G115" s="186"/>
      <c r="H115" s="383"/>
      <c r="I115" s="383"/>
      <c r="J115" s="383"/>
      <c r="K115" s="186"/>
      <c r="L115" s="186"/>
      <c r="M115" s="186"/>
      <c r="N115" s="186"/>
      <c r="O115" s="186"/>
      <c r="P115" s="186"/>
      <c r="Q115" s="382"/>
      <c r="R115" s="382"/>
      <c r="S115" s="382"/>
      <c r="T115" s="186"/>
      <c r="U115" s="186"/>
      <c r="V115" s="186"/>
      <c r="W115" s="186"/>
      <c r="X115" s="186"/>
      <c r="Y115" s="186"/>
      <c r="Z115" s="186"/>
      <c r="AA115" s="186"/>
      <c r="AB115" s="186"/>
      <c r="AC115" s="186"/>
    </row>
    <row r="116" spans="1:36" ht="11.25" hidden="1" customHeight="1" x14ac:dyDescent="0.8">
      <c r="A116" s="409"/>
      <c r="B116" s="410"/>
      <c r="C116" s="410"/>
      <c r="D116" s="196"/>
      <c r="E116" s="196"/>
      <c r="F116" s="196"/>
      <c r="G116" s="410"/>
      <c r="H116" s="411"/>
      <c r="I116" s="411"/>
      <c r="J116" s="411"/>
      <c r="K116" s="410"/>
      <c r="L116" s="410"/>
      <c r="M116" s="410"/>
      <c r="N116" s="410"/>
      <c r="O116" s="410"/>
      <c r="P116" s="410"/>
      <c r="Q116" s="196"/>
      <c r="R116" s="196"/>
      <c r="S116" s="196"/>
      <c r="T116" s="410"/>
      <c r="U116" s="410"/>
      <c r="V116" s="410"/>
      <c r="W116" s="410"/>
      <c r="X116" s="410"/>
      <c r="Y116" s="410"/>
      <c r="Z116" s="410"/>
      <c r="AA116" s="410"/>
      <c r="AB116" s="410"/>
      <c r="AC116" s="410"/>
      <c r="AD116" s="412"/>
      <c r="AE116" s="412"/>
      <c r="AF116" s="412"/>
      <c r="AG116" s="412"/>
      <c r="AH116" s="412"/>
      <c r="AI116" s="412"/>
      <c r="AJ116" s="412"/>
    </row>
    <row r="117" spans="1:36" ht="60" hidden="1" customHeight="1" x14ac:dyDescent="0.95">
      <c r="A117" s="228"/>
      <c r="B117" s="469" t="s">
        <v>474</v>
      </c>
      <c r="C117" s="470"/>
      <c r="D117" s="471">
        <v>9</v>
      </c>
      <c r="E117" s="505">
        <v>37522000</v>
      </c>
      <c r="F117" s="506">
        <f>E117/E119*100</f>
        <v>17.06118555278341</v>
      </c>
      <c r="G117" s="472"/>
      <c r="H117" s="473"/>
      <c r="I117" s="473"/>
      <c r="J117" s="473"/>
      <c r="K117" s="472"/>
      <c r="L117" s="472"/>
      <c r="M117" s="472"/>
      <c r="N117" s="472"/>
      <c r="O117" s="472"/>
      <c r="P117" s="472"/>
      <c r="Q117" s="471">
        <v>9</v>
      </c>
      <c r="R117" s="505">
        <v>37522000</v>
      </c>
      <c r="S117" s="506">
        <f>R117/R119*100</f>
        <v>17.06118555278341</v>
      </c>
      <c r="T117" s="472"/>
      <c r="U117" s="503">
        <f>U119-U118</f>
        <v>65716023.080000013</v>
      </c>
      <c r="V117" s="474">
        <f>U117/E117*100</f>
        <v>175.13997942540379</v>
      </c>
      <c r="W117" s="474">
        <f>W119-W118</f>
        <v>82883579.080000013</v>
      </c>
      <c r="X117" s="474">
        <f>W117/E117*100</f>
        <v>220.89328681839993</v>
      </c>
      <c r="Y117" s="474">
        <f>E117-W117</f>
        <v>-45361579.080000013</v>
      </c>
      <c r="Z117" s="475">
        <f>Y117/E117*100</f>
        <v>-120.8932868183999</v>
      </c>
      <c r="AA117" s="415"/>
      <c r="AB117" s="415"/>
      <c r="AC117" s="467"/>
      <c r="AI117" s="244">
        <f>6023168+6331680+5188460+3106800</f>
        <v>20650108</v>
      </c>
    </row>
    <row r="118" spans="1:36" ht="51" hidden="1" customHeight="1" x14ac:dyDescent="0.85">
      <c r="A118" s="228"/>
      <c r="B118" s="469" t="s">
        <v>204</v>
      </c>
      <c r="C118" s="470"/>
      <c r="D118" s="471">
        <v>10</v>
      </c>
      <c r="E118" s="505">
        <v>182404100</v>
      </c>
      <c r="F118" s="506">
        <f>E118/E119*100</f>
        <v>82.938814447216586</v>
      </c>
      <c r="G118" s="472"/>
      <c r="H118" s="473"/>
      <c r="I118" s="473"/>
      <c r="J118" s="473"/>
      <c r="K118" s="472"/>
      <c r="L118" s="472"/>
      <c r="M118" s="472"/>
      <c r="N118" s="472"/>
      <c r="O118" s="472"/>
      <c r="P118" s="472"/>
      <c r="Q118" s="471">
        <v>10</v>
      </c>
      <c r="R118" s="505">
        <v>182404100</v>
      </c>
      <c r="S118" s="506">
        <f>R118/R119*100</f>
        <v>82.938814447216586</v>
      </c>
      <c r="T118" s="472"/>
      <c r="U118" s="502">
        <f>428630.21+495000+5580000+9988000+41990000+21232150+3746850+20516416+7163584+25390000+17588000</f>
        <v>154118630.21000001</v>
      </c>
      <c r="V118" s="474">
        <f>U118/E118*100</f>
        <v>84.492963814958117</v>
      </c>
      <c r="W118" s="501">
        <f>1320000+495000+9988000+3746850+7163584+3106800+428630.21+3106800+6023168+6331680+5188460+13318802.8+7913347.2</f>
        <v>68131122.210000008</v>
      </c>
      <c r="X118" s="474">
        <f>W118/E118*100</f>
        <v>37.351749335678313</v>
      </c>
      <c r="Y118" s="474">
        <f>E118-W118</f>
        <v>114272977.78999999</v>
      </c>
      <c r="Z118" s="475">
        <f>Y118/E118*100</f>
        <v>62.648250664321679</v>
      </c>
      <c r="AA118" s="415"/>
      <c r="AB118" s="415"/>
      <c r="AC118" s="467">
        <f>X118+Z118</f>
        <v>100</v>
      </c>
    </row>
    <row r="119" spans="1:36" ht="66" hidden="1" customHeight="1" x14ac:dyDescent="0.85">
      <c r="A119" s="228"/>
      <c r="B119" s="469" t="s">
        <v>29</v>
      </c>
      <c r="C119" s="470"/>
      <c r="D119" s="476">
        <v>19</v>
      </c>
      <c r="E119" s="477">
        <f>E117+E118</f>
        <v>219926100</v>
      </c>
      <c r="F119" s="478">
        <f>F117+F118</f>
        <v>100</v>
      </c>
      <c r="G119" s="479"/>
      <c r="H119" s="480"/>
      <c r="I119" s="480"/>
      <c r="J119" s="480"/>
      <c r="K119" s="479"/>
      <c r="L119" s="479"/>
      <c r="M119" s="479"/>
      <c r="N119" s="479"/>
      <c r="O119" s="479"/>
      <c r="P119" s="479"/>
      <c r="Q119" s="476">
        <v>19</v>
      </c>
      <c r="R119" s="477">
        <f>R117+R118</f>
        <v>219926100</v>
      </c>
      <c r="S119" s="478">
        <f>S117+S118</f>
        <v>100</v>
      </c>
      <c r="T119" s="479"/>
      <c r="U119" s="504">
        <f>U7</f>
        <v>219834653.29000002</v>
      </c>
      <c r="V119" s="481">
        <f>U119/E119*100</f>
        <v>99.958419346316802</v>
      </c>
      <c r="W119" s="482">
        <f>W7</f>
        <v>151014701.29000002</v>
      </c>
      <c r="X119" s="482">
        <f>W119/E119*100</f>
        <v>68.666111612036957</v>
      </c>
      <c r="Y119" s="483">
        <f>Y117+Y118</f>
        <v>68911398.709999979</v>
      </c>
      <c r="Z119" s="483">
        <f>Y119/E119*100</f>
        <v>31.333888387963039</v>
      </c>
      <c r="AA119" s="607"/>
      <c r="AB119" s="607"/>
      <c r="AC119" s="468">
        <f>X119+Z119</f>
        <v>100</v>
      </c>
    </row>
    <row r="120" spans="1:36" ht="90" hidden="1" customHeight="1" x14ac:dyDescent="1">
      <c r="A120" s="228"/>
      <c r="B120" s="415"/>
      <c r="C120" s="415"/>
      <c r="D120" s="414"/>
      <c r="E120" s="1320"/>
      <c r="F120" s="1321"/>
      <c r="G120" s="415"/>
      <c r="H120" s="416"/>
      <c r="I120" s="416"/>
      <c r="J120" s="416"/>
      <c r="K120" s="415"/>
      <c r="L120" s="415"/>
      <c r="M120" s="415"/>
      <c r="N120" s="415"/>
      <c r="O120" s="415"/>
      <c r="P120" s="415"/>
      <c r="Q120" s="414"/>
      <c r="R120" s="1320"/>
      <c r="S120" s="1321"/>
      <c r="T120" s="415"/>
      <c r="U120" s="1322" t="s">
        <v>727</v>
      </c>
      <c r="V120" s="1322"/>
      <c r="W120" s="1313" t="s">
        <v>721</v>
      </c>
      <c r="X120" s="1313"/>
      <c r="Y120" s="1314"/>
      <c r="Z120" s="1314"/>
      <c r="AA120" s="608"/>
      <c r="AB120" s="608"/>
      <c r="AC120" s="243"/>
    </row>
    <row r="121" spans="1:36" ht="8.25" hidden="1" customHeight="1" x14ac:dyDescent="0.8">
      <c r="A121" s="228"/>
      <c r="Y121" s="234"/>
    </row>
    <row r="122" spans="1:36" ht="53.25" hidden="1" customHeight="1" x14ac:dyDescent="0.85">
      <c r="A122" s="233"/>
      <c r="D122" s="382"/>
      <c r="Q122" s="382"/>
      <c r="W122" s="413">
        <f>W119+Y119</f>
        <v>219926100</v>
      </c>
      <c r="X122" s="413"/>
      <c r="Y122" s="194"/>
      <c r="AC122" s="414"/>
    </row>
    <row r="123" spans="1:36" ht="31.5" hidden="1" x14ac:dyDescent="0.75">
      <c r="U123" s="1315" t="s">
        <v>729</v>
      </c>
      <c r="V123" s="1315"/>
      <c r="W123" s="1315"/>
      <c r="X123" s="1315"/>
    </row>
  </sheetData>
  <mergeCells count="53">
    <mergeCell ref="G5:H5"/>
    <mergeCell ref="A1:AC1"/>
    <mergeCell ref="B2:AC2"/>
    <mergeCell ref="AA3:AC3"/>
    <mergeCell ref="A4:A6"/>
    <mergeCell ref="B4:F4"/>
    <mergeCell ref="G4:J4"/>
    <mergeCell ref="K4:M4"/>
    <mergeCell ref="Q4:S4"/>
    <mergeCell ref="U4:Z4"/>
    <mergeCell ref="AC4:AC6"/>
    <mergeCell ref="B5:B6"/>
    <mergeCell ref="C5:C6"/>
    <mergeCell ref="D5:D6"/>
    <mergeCell ref="E5:E6"/>
    <mergeCell ref="F5:F6"/>
    <mergeCell ref="Z5:Z6"/>
    <mergeCell ref="I5:J5"/>
    <mergeCell ref="K5:K6"/>
    <mergeCell ref="L5:L6"/>
    <mergeCell ref="M5:M6"/>
    <mergeCell ref="N5:N6"/>
    <mergeCell ref="Q5:Q6"/>
    <mergeCell ref="R5:R6"/>
    <mergeCell ref="S5:S6"/>
    <mergeCell ref="W5:W6"/>
    <mergeCell ref="X5:X6"/>
    <mergeCell ref="Y5:Y6"/>
    <mergeCell ref="AC35:AC37"/>
    <mergeCell ref="AC62:AC63"/>
    <mergeCell ref="B93:K93"/>
    <mergeCell ref="B94:B95"/>
    <mergeCell ref="C94:D94"/>
    <mergeCell ref="E94:G94"/>
    <mergeCell ref="H94:K94"/>
    <mergeCell ref="F95:G95"/>
    <mergeCell ref="H95:I95"/>
    <mergeCell ref="J95:K95"/>
    <mergeCell ref="F96:G96"/>
    <mergeCell ref="H96:I96"/>
    <mergeCell ref="J96:K96"/>
    <mergeCell ref="F97:G97"/>
    <mergeCell ref="H97:I97"/>
    <mergeCell ref="J97:K97"/>
    <mergeCell ref="W120:X120"/>
    <mergeCell ref="Y120:Z120"/>
    <mergeCell ref="U123:X123"/>
    <mergeCell ref="F98:G98"/>
    <mergeCell ref="H98:I98"/>
    <mergeCell ref="J98:K98"/>
    <mergeCell ref="E120:F120"/>
    <mergeCell ref="R120:S120"/>
    <mergeCell ref="U120:V120"/>
  </mergeCells>
  <printOptions horizontalCentered="1"/>
  <pageMargins left="0.19685039370078741" right="0" top="0.39370078740157483" bottom="0.19685039370078741" header="0.11811023622047245" footer="0.31496062992125984"/>
  <pageSetup paperSize="9" scale="44" orientation="landscape" r:id="rId1"/>
  <headerFooter scaleWithDoc="0"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6:G12"/>
  <sheetViews>
    <sheetView workbookViewId="0">
      <selection activeCell="G13" sqref="G13"/>
    </sheetView>
  </sheetViews>
  <sheetFormatPr defaultRowHeight="14.25" x14ac:dyDescent="0.2"/>
  <cols>
    <col min="7" max="7" width="18" style="510" customWidth="1"/>
  </cols>
  <sheetData>
    <row r="6" spans="7:7" x14ac:dyDescent="0.2">
      <c r="G6" s="510">
        <v>3712400</v>
      </c>
    </row>
    <row r="7" spans="7:7" x14ac:dyDescent="0.2">
      <c r="G7" s="510">
        <v>4250000</v>
      </c>
    </row>
    <row r="8" spans="7:7" x14ac:dyDescent="0.2">
      <c r="G8" s="510">
        <v>3189150</v>
      </c>
    </row>
    <row r="9" spans="7:7" x14ac:dyDescent="0.2">
      <c r="G9" s="510">
        <f>SUM(G6:G8)</f>
        <v>11151550</v>
      </c>
    </row>
    <row r="12" spans="7:7" x14ac:dyDescent="0.2">
      <c r="G12" s="510">
        <f>G9-8089000</f>
        <v>3062550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S86"/>
  <sheetViews>
    <sheetView zoomScale="90" zoomScaleNormal="90" zoomScaleSheetLayoutView="100" workbookViewId="0">
      <pane ySplit="6" topLeftCell="A7" activePane="bottomLeft" state="frozen"/>
      <selection pane="bottomLeft" activeCell="E7" sqref="E7"/>
    </sheetView>
  </sheetViews>
  <sheetFormatPr defaultColWidth="9" defaultRowHeight="18.75" x14ac:dyDescent="0.3"/>
  <cols>
    <col min="1" max="1" width="4.125" style="11" customWidth="1"/>
    <col min="2" max="2" width="30" style="11" customWidth="1"/>
    <col min="3" max="3" width="15.75" style="11" customWidth="1"/>
    <col min="4" max="6" width="12.625" style="11" customWidth="1"/>
    <col min="7" max="7" width="8.375" style="11" customWidth="1"/>
    <col min="8" max="8" width="9.25" style="12" customWidth="1"/>
    <col min="9" max="9" width="8.375" style="12" customWidth="1"/>
    <col min="10" max="10" width="10" style="12" customWidth="1"/>
    <col min="11" max="11" width="11.375" style="11" customWidth="1"/>
    <col min="12" max="12" width="10.75" style="11" customWidth="1"/>
    <col min="13" max="13" width="12.25" style="11" customWidth="1"/>
    <col min="14" max="18" width="12.625" style="11" customWidth="1"/>
    <col min="19" max="19" width="28.375" style="11" customWidth="1"/>
    <col min="20" max="16384" width="9" style="11"/>
  </cols>
  <sheetData>
    <row r="1" spans="1:19" ht="23.25" x14ac:dyDescent="0.3">
      <c r="A1" s="1455" t="s">
        <v>235</v>
      </c>
      <c r="B1" s="1455"/>
      <c r="C1" s="1455"/>
      <c r="D1" s="1455"/>
      <c r="E1" s="1455"/>
      <c r="F1" s="1455"/>
      <c r="G1" s="1455"/>
      <c r="H1" s="1455"/>
      <c r="I1" s="1455"/>
      <c r="J1" s="1455"/>
      <c r="K1" s="1455"/>
      <c r="L1" s="1455"/>
      <c r="M1" s="1455"/>
      <c r="N1" s="1455"/>
      <c r="O1" s="1455"/>
      <c r="P1" s="1455"/>
      <c r="Q1" s="1455"/>
      <c r="R1" s="1455"/>
      <c r="S1" s="1455"/>
    </row>
    <row r="2" spans="1:19" ht="25.5" customHeight="1" x14ac:dyDescent="0.3">
      <c r="A2" s="1455" t="s">
        <v>176</v>
      </c>
      <c r="B2" s="1455"/>
      <c r="C2" s="1455"/>
      <c r="D2" s="1455"/>
      <c r="E2" s="1455"/>
      <c r="F2" s="1455"/>
      <c r="G2" s="1455"/>
      <c r="H2" s="1455"/>
      <c r="I2" s="1455"/>
      <c r="J2" s="1455"/>
      <c r="K2" s="1455"/>
      <c r="L2" s="1455"/>
      <c r="M2" s="1455"/>
      <c r="N2" s="1455"/>
      <c r="O2" s="1455"/>
      <c r="P2" s="1455"/>
      <c r="Q2" s="1455"/>
      <c r="R2" s="1455"/>
      <c r="S2" s="1455"/>
    </row>
    <row r="3" spans="1:19" ht="21" customHeight="1" x14ac:dyDescent="0.3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139"/>
      <c r="S3" s="163" t="s">
        <v>236</v>
      </c>
    </row>
    <row r="4" spans="1:19" ht="18.75" customHeight="1" x14ac:dyDescent="0.3">
      <c r="A4" s="1458" t="s">
        <v>0</v>
      </c>
      <c r="B4" s="1456" t="s">
        <v>177</v>
      </c>
      <c r="C4" s="1456"/>
      <c r="D4" s="1456"/>
      <c r="E4" s="1456"/>
      <c r="F4" s="1456"/>
      <c r="G4" s="1457" t="s">
        <v>182</v>
      </c>
      <c r="H4" s="1457"/>
      <c r="I4" s="1457"/>
      <c r="J4" s="1457"/>
      <c r="K4" s="1464" t="s">
        <v>225</v>
      </c>
      <c r="L4" s="1464"/>
      <c r="M4" s="1464"/>
      <c r="N4" s="1465" t="s">
        <v>227</v>
      </c>
      <c r="O4" s="1465"/>
      <c r="P4" s="1465"/>
      <c r="Q4" s="1465"/>
      <c r="R4" s="1465"/>
      <c r="S4" s="1466" t="s">
        <v>240</v>
      </c>
    </row>
    <row r="5" spans="1:19" ht="75" customHeight="1" x14ac:dyDescent="0.3">
      <c r="A5" s="1458"/>
      <c r="B5" s="1459" t="s">
        <v>178</v>
      </c>
      <c r="C5" s="1460" t="s">
        <v>192</v>
      </c>
      <c r="D5" s="1461" t="s">
        <v>223</v>
      </c>
      <c r="E5" s="1461" t="s">
        <v>180</v>
      </c>
      <c r="F5" s="1461" t="s">
        <v>181</v>
      </c>
      <c r="G5" s="1462" t="s">
        <v>220</v>
      </c>
      <c r="H5" s="1462"/>
      <c r="I5" s="1463" t="s">
        <v>221</v>
      </c>
      <c r="J5" s="1463"/>
      <c r="K5" s="1438" t="s">
        <v>183</v>
      </c>
      <c r="L5" s="1438" t="s">
        <v>222</v>
      </c>
      <c r="M5" s="1438" t="s">
        <v>219</v>
      </c>
      <c r="N5" s="1445" t="s">
        <v>228</v>
      </c>
      <c r="O5" s="1446" t="s">
        <v>241</v>
      </c>
      <c r="P5" s="1445" t="s">
        <v>242</v>
      </c>
      <c r="Q5" s="1445" t="s">
        <v>243</v>
      </c>
      <c r="R5" s="1445" t="s">
        <v>244</v>
      </c>
      <c r="S5" s="1466"/>
    </row>
    <row r="6" spans="1:19" x14ac:dyDescent="0.3">
      <c r="A6" s="1458"/>
      <c r="B6" s="1459"/>
      <c r="C6" s="1460"/>
      <c r="D6" s="1461"/>
      <c r="E6" s="1461"/>
      <c r="F6" s="1461"/>
      <c r="G6" s="95" t="s">
        <v>215</v>
      </c>
      <c r="H6" s="95" t="s">
        <v>216</v>
      </c>
      <c r="I6" s="95" t="s">
        <v>217</v>
      </c>
      <c r="J6" s="95" t="s">
        <v>216</v>
      </c>
      <c r="K6" s="1438"/>
      <c r="L6" s="1438"/>
      <c r="M6" s="1438"/>
      <c r="N6" s="1445"/>
      <c r="O6" s="1447"/>
      <c r="P6" s="1445"/>
      <c r="Q6" s="1445"/>
      <c r="R6" s="1445"/>
      <c r="S6" s="1466"/>
    </row>
    <row r="7" spans="1:19" x14ac:dyDescent="0.3">
      <c r="A7" s="42">
        <v>1</v>
      </c>
      <c r="B7" s="43" t="s">
        <v>12</v>
      </c>
      <c r="C7" s="43"/>
      <c r="D7" s="112">
        <f>SUM(D8:D10)</f>
        <v>2000000</v>
      </c>
      <c r="E7" s="112">
        <f>SUM(E8:E10)</f>
        <v>8500000</v>
      </c>
      <c r="F7" s="112">
        <f>SUM(F8:F10)</f>
        <v>10500000</v>
      </c>
      <c r="G7" s="42"/>
      <c r="H7" s="42"/>
      <c r="I7" s="42"/>
      <c r="J7" s="42"/>
      <c r="K7" s="42"/>
      <c r="L7" s="42"/>
      <c r="M7" s="42"/>
      <c r="N7" s="160">
        <f>SUM(N8:N10)</f>
        <v>1480000</v>
      </c>
      <c r="O7" s="160">
        <f>SUM(O8:O10)</f>
        <v>20000</v>
      </c>
      <c r="P7" s="160">
        <f>SUM(P8:P10)</f>
        <v>100000</v>
      </c>
      <c r="Q7" s="160">
        <f>SUM(Q8:Q10)</f>
        <v>7800000</v>
      </c>
      <c r="R7" s="160">
        <f>SUM(R8:R10)</f>
        <v>580000</v>
      </c>
      <c r="S7" s="43"/>
    </row>
    <row r="8" spans="1:19" ht="56.25" x14ac:dyDescent="0.3">
      <c r="A8" s="1"/>
      <c r="B8" s="2" t="s">
        <v>13</v>
      </c>
      <c r="C8" s="2" t="s">
        <v>197</v>
      </c>
      <c r="D8" s="114">
        <v>0</v>
      </c>
      <c r="E8" s="114">
        <v>1500000</v>
      </c>
      <c r="F8" s="114">
        <f>SUM(D8:E8)</f>
        <v>1500000</v>
      </c>
      <c r="G8" s="3"/>
      <c r="H8" s="102"/>
      <c r="I8" s="102">
        <v>6</v>
      </c>
      <c r="J8" s="102">
        <v>11</v>
      </c>
      <c r="K8" s="102"/>
      <c r="L8" s="102">
        <v>13</v>
      </c>
      <c r="M8" s="102" t="s">
        <v>185</v>
      </c>
      <c r="N8" s="159">
        <v>1480000</v>
      </c>
      <c r="O8" s="159">
        <v>20000</v>
      </c>
      <c r="P8" s="159">
        <v>100000</v>
      </c>
      <c r="Q8" s="159">
        <v>800000</v>
      </c>
      <c r="R8" s="159">
        <v>580000</v>
      </c>
      <c r="S8" s="140" t="s">
        <v>230</v>
      </c>
    </row>
    <row r="9" spans="1:19" ht="37.5" x14ac:dyDescent="0.3">
      <c r="A9" s="143"/>
      <c r="B9" s="144" t="s">
        <v>14</v>
      </c>
      <c r="C9" s="144" t="s">
        <v>193</v>
      </c>
      <c r="D9" s="142">
        <v>0</v>
      </c>
      <c r="E9" s="142">
        <v>2000000</v>
      </c>
      <c r="F9" s="142">
        <f>SUM(D9:E9)</f>
        <v>2000000</v>
      </c>
      <c r="G9" s="145"/>
      <c r="H9" s="145"/>
      <c r="I9" s="145"/>
      <c r="J9" s="145"/>
      <c r="K9" s="145"/>
      <c r="L9" s="145"/>
      <c r="M9" s="145">
        <v>7</v>
      </c>
      <c r="N9" s="162">
        <v>0</v>
      </c>
      <c r="O9" s="162"/>
      <c r="P9" s="162">
        <v>0</v>
      </c>
      <c r="Q9" s="162">
        <v>0</v>
      </c>
      <c r="R9" s="162">
        <v>0</v>
      </c>
      <c r="S9" s="167" t="s">
        <v>207</v>
      </c>
    </row>
    <row r="10" spans="1:19" ht="37.5" x14ac:dyDescent="0.3">
      <c r="A10" s="1"/>
      <c r="B10" s="2" t="s">
        <v>15</v>
      </c>
      <c r="C10" s="2" t="s">
        <v>196</v>
      </c>
      <c r="D10" s="114">
        <v>2000000</v>
      </c>
      <c r="E10" s="114">
        <v>5000000</v>
      </c>
      <c r="F10" s="114">
        <f>SUM(D10:E10)</f>
        <v>7000000</v>
      </c>
      <c r="G10" s="3">
        <v>7</v>
      </c>
      <c r="H10" s="102">
        <v>8</v>
      </c>
      <c r="I10" s="102">
        <v>7</v>
      </c>
      <c r="J10" s="102">
        <v>8</v>
      </c>
      <c r="K10" s="102">
        <v>1</v>
      </c>
      <c r="L10" s="102">
        <v>1</v>
      </c>
      <c r="M10" s="102">
        <v>8</v>
      </c>
      <c r="N10" s="159">
        <v>0</v>
      </c>
      <c r="O10" s="159"/>
      <c r="P10" s="159">
        <v>0</v>
      </c>
      <c r="Q10" s="159">
        <v>7000000</v>
      </c>
      <c r="R10" s="159">
        <v>0</v>
      </c>
      <c r="S10" s="97" t="s">
        <v>226</v>
      </c>
    </row>
    <row r="11" spans="1:19" x14ac:dyDescent="0.3">
      <c r="A11" s="45">
        <v>2</v>
      </c>
      <c r="B11" s="46" t="s">
        <v>17</v>
      </c>
      <c r="C11" s="46"/>
      <c r="D11" s="113">
        <f>SUM(D12:D13)</f>
        <v>2700000</v>
      </c>
      <c r="E11" s="113">
        <f>SUM(E12:E13)</f>
        <v>800000</v>
      </c>
      <c r="F11" s="113">
        <f>SUM(F12:F13)</f>
        <v>3500000</v>
      </c>
      <c r="G11" s="48"/>
      <c r="H11" s="103"/>
      <c r="I11" s="103"/>
      <c r="J11" s="103"/>
      <c r="K11" s="103"/>
      <c r="L11" s="103"/>
      <c r="M11" s="103"/>
      <c r="N11" s="161">
        <f>SUM(N12:N13)</f>
        <v>0</v>
      </c>
      <c r="O11" s="161">
        <f>SUM(O12:O13)</f>
        <v>0</v>
      </c>
      <c r="P11" s="161">
        <f>SUM(P12:P13)</f>
        <v>1600000</v>
      </c>
      <c r="Q11" s="161">
        <f>SUM(Q12:Q13)</f>
        <v>2600000</v>
      </c>
      <c r="R11" s="161">
        <f>SUM(R12:R13)</f>
        <v>400000</v>
      </c>
      <c r="S11" s="98"/>
    </row>
    <row r="12" spans="1:19" ht="75" x14ac:dyDescent="0.3">
      <c r="A12" s="1"/>
      <c r="B12" s="144" t="s">
        <v>19</v>
      </c>
      <c r="C12" s="144" t="s">
        <v>195</v>
      </c>
      <c r="D12" s="142">
        <v>2500000</v>
      </c>
      <c r="E12" s="142">
        <v>0</v>
      </c>
      <c r="F12" s="142">
        <f>SUM(D12:E12)</f>
        <v>2500000</v>
      </c>
      <c r="G12" s="145">
        <v>4</v>
      </c>
      <c r="H12" s="145">
        <v>9</v>
      </c>
      <c r="I12" s="145"/>
      <c r="J12" s="145"/>
      <c r="K12" s="145">
        <v>2</v>
      </c>
      <c r="L12" s="145"/>
      <c r="M12" s="145" t="s">
        <v>185</v>
      </c>
      <c r="N12" s="162">
        <v>0</v>
      </c>
      <c r="O12" s="162"/>
      <c r="P12" s="162">
        <v>1500000</v>
      </c>
      <c r="Q12" s="162">
        <v>2000000</v>
      </c>
      <c r="R12" s="162">
        <v>0</v>
      </c>
      <c r="S12" s="146" t="s">
        <v>229</v>
      </c>
    </row>
    <row r="13" spans="1:19" s="92" customFormat="1" x14ac:dyDescent="0.3">
      <c r="A13" s="143"/>
      <c r="B13" s="174" t="s">
        <v>18</v>
      </c>
      <c r="C13" s="174" t="s">
        <v>194</v>
      </c>
      <c r="D13" s="116">
        <v>200000</v>
      </c>
      <c r="E13" s="116">
        <v>800000</v>
      </c>
      <c r="F13" s="116">
        <f>SUM(D13:E13)</f>
        <v>1000000</v>
      </c>
      <c r="G13" s="102">
        <v>5</v>
      </c>
      <c r="H13" s="102">
        <v>8</v>
      </c>
      <c r="I13" s="102">
        <v>5</v>
      </c>
      <c r="J13" s="102">
        <v>8</v>
      </c>
      <c r="K13" s="102">
        <v>2</v>
      </c>
      <c r="L13" s="145">
        <v>16</v>
      </c>
      <c r="M13" s="102">
        <v>5</v>
      </c>
      <c r="N13" s="159">
        <v>0</v>
      </c>
      <c r="O13" s="159"/>
      <c r="P13" s="159">
        <v>100000</v>
      </c>
      <c r="Q13" s="159">
        <v>600000</v>
      </c>
      <c r="R13" s="159">
        <v>400000</v>
      </c>
      <c r="S13" s="146" t="s">
        <v>198</v>
      </c>
    </row>
    <row r="14" spans="1:19" ht="22.5" customHeight="1" x14ac:dyDescent="0.3">
      <c r="A14" s="45">
        <v>3</v>
      </c>
      <c r="B14" s="46" t="s">
        <v>21</v>
      </c>
      <c r="C14" s="46"/>
      <c r="D14" s="113">
        <f>SUM(D15:D18)</f>
        <v>0</v>
      </c>
      <c r="E14" s="113">
        <f>SUM(E15:E18)</f>
        <v>0</v>
      </c>
      <c r="F14" s="113">
        <f>SUM(F15:F18)</f>
        <v>0</v>
      </c>
      <c r="G14" s="48"/>
      <c r="H14" s="48"/>
      <c r="I14" s="48"/>
      <c r="J14" s="48"/>
      <c r="K14" s="48"/>
      <c r="L14" s="48"/>
      <c r="M14" s="48"/>
      <c r="N14" s="161">
        <f>SUM(N15:N18)</f>
        <v>0</v>
      </c>
      <c r="O14" s="161">
        <f>SUM(O15:O18)</f>
        <v>0</v>
      </c>
      <c r="P14" s="161">
        <f>SUM(P15:P18)</f>
        <v>0</v>
      </c>
      <c r="Q14" s="161">
        <f>SUM(Q15:Q18)</f>
        <v>0</v>
      </c>
      <c r="R14" s="161">
        <f>SUM(R15:R18)</f>
        <v>0</v>
      </c>
      <c r="S14" s="98"/>
    </row>
    <row r="15" spans="1:19" x14ac:dyDescent="0.3">
      <c r="A15" s="1"/>
      <c r="B15" s="2" t="s">
        <v>22</v>
      </c>
      <c r="C15" s="2"/>
      <c r="D15" s="114">
        <v>0</v>
      </c>
      <c r="E15" s="114">
        <v>0</v>
      </c>
      <c r="F15" s="114">
        <v>0</v>
      </c>
      <c r="G15" s="3"/>
      <c r="H15" s="3"/>
      <c r="I15" s="3"/>
      <c r="J15" s="3"/>
      <c r="K15" s="3"/>
      <c r="L15" s="3"/>
      <c r="M15" s="3"/>
      <c r="N15" s="116"/>
      <c r="O15" s="116"/>
      <c r="P15" s="116"/>
      <c r="Q15" s="116"/>
      <c r="R15" s="116"/>
      <c r="S15" s="97"/>
    </row>
    <row r="16" spans="1:19" ht="18.75" customHeight="1" x14ac:dyDescent="0.3">
      <c r="A16" s="1"/>
      <c r="B16" s="2" t="s">
        <v>23</v>
      </c>
      <c r="C16" s="2"/>
      <c r="D16" s="114">
        <v>0</v>
      </c>
      <c r="E16" s="114">
        <v>0</v>
      </c>
      <c r="F16" s="114">
        <v>0</v>
      </c>
      <c r="G16" s="3"/>
      <c r="H16" s="3"/>
      <c r="I16" s="3"/>
      <c r="J16" s="3"/>
      <c r="K16" s="3"/>
      <c r="L16" s="3"/>
      <c r="M16" s="3"/>
      <c r="N16" s="116"/>
      <c r="O16" s="116"/>
      <c r="P16" s="116"/>
      <c r="Q16" s="116"/>
      <c r="R16" s="116"/>
      <c r="S16" s="97"/>
    </row>
    <row r="17" spans="1:19" x14ac:dyDescent="0.3">
      <c r="A17" s="1"/>
      <c r="B17" s="2" t="s">
        <v>24</v>
      </c>
      <c r="C17" s="2"/>
      <c r="D17" s="114">
        <v>0</v>
      </c>
      <c r="E17" s="114">
        <v>0</v>
      </c>
      <c r="F17" s="114">
        <f>SUM(D17:E17)</f>
        <v>0</v>
      </c>
      <c r="G17" s="3"/>
      <c r="H17" s="3"/>
      <c r="I17" s="3"/>
      <c r="J17" s="3"/>
      <c r="K17" s="3"/>
      <c r="L17" s="3"/>
      <c r="M17" s="3"/>
      <c r="N17" s="116"/>
      <c r="O17" s="116"/>
      <c r="P17" s="116"/>
      <c r="Q17" s="116"/>
      <c r="R17" s="116"/>
      <c r="S17" s="97"/>
    </row>
    <row r="18" spans="1:19" x14ac:dyDescent="0.3">
      <c r="A18" s="8"/>
      <c r="B18" s="9" t="s">
        <v>25</v>
      </c>
      <c r="C18" s="9"/>
      <c r="D18" s="115">
        <v>0</v>
      </c>
      <c r="E18" s="115">
        <v>0</v>
      </c>
      <c r="F18" s="115">
        <v>0</v>
      </c>
      <c r="G18" s="10"/>
      <c r="H18" s="10"/>
      <c r="I18" s="10"/>
      <c r="J18" s="10"/>
      <c r="K18" s="10"/>
      <c r="L18" s="10"/>
      <c r="M18" s="10"/>
      <c r="N18" s="135"/>
      <c r="O18" s="135"/>
      <c r="P18" s="135"/>
      <c r="Q18" s="135"/>
      <c r="R18" s="135"/>
      <c r="S18" s="99"/>
    </row>
    <row r="19" spans="1:19" ht="22.5" customHeight="1" x14ac:dyDescent="0.3">
      <c r="A19" s="1449" t="s">
        <v>29</v>
      </c>
      <c r="B19" s="1449"/>
      <c r="C19" s="105"/>
      <c r="D19" s="173">
        <f>SUM(D7+D11+D14)</f>
        <v>4700000</v>
      </c>
      <c r="E19" s="173">
        <f>SUM(E7+E11+E14)</f>
        <v>9300000</v>
      </c>
      <c r="F19" s="173">
        <f>SUM(F7+F11+F14)</f>
        <v>14000000</v>
      </c>
      <c r="G19" s="141"/>
      <c r="H19" s="141"/>
      <c r="I19" s="141"/>
      <c r="J19" s="141"/>
      <c r="K19" s="105"/>
      <c r="L19" s="105"/>
      <c r="M19" s="141"/>
      <c r="N19" s="136">
        <f>SUM(N7,N11,N14)</f>
        <v>1480000</v>
      </c>
      <c r="O19" s="136">
        <f>SUM(O7,O11,O14)</f>
        <v>20000</v>
      </c>
      <c r="P19" s="136">
        <f>SUM(P7,P11,P14)</f>
        <v>1700000</v>
      </c>
      <c r="Q19" s="136">
        <f>SUM(Q7,Q11,Q14)</f>
        <v>10400000</v>
      </c>
      <c r="R19" s="136">
        <f>SUM(R7,R11,R14)</f>
        <v>980000</v>
      </c>
      <c r="S19" s="106"/>
    </row>
    <row r="20" spans="1:19" ht="22.5" customHeight="1" x14ac:dyDescent="0.3">
      <c r="B20" s="15"/>
      <c r="C20" s="15"/>
    </row>
    <row r="21" spans="1:19" ht="22.5" customHeight="1" x14ac:dyDescent="0.3">
      <c r="B21" s="15"/>
      <c r="C21" s="1454" t="s">
        <v>206</v>
      </c>
      <c r="D21" s="1454"/>
      <c r="E21" s="1454"/>
      <c r="F21" s="1454"/>
      <c r="G21" s="1454"/>
      <c r="H21" s="1454"/>
      <c r="I21" s="1454"/>
      <c r="J21" s="1454"/>
      <c r="K21" s="1454"/>
      <c r="L21" s="1454"/>
    </row>
    <row r="22" spans="1:19" ht="22.5" customHeight="1" x14ac:dyDescent="0.3">
      <c r="B22" s="15"/>
      <c r="C22" s="1450" t="s">
        <v>199</v>
      </c>
      <c r="D22" s="1441" t="s">
        <v>208</v>
      </c>
      <c r="E22" s="1442"/>
      <c r="F22" s="1441" t="s">
        <v>202</v>
      </c>
      <c r="G22" s="1452"/>
      <c r="H22" s="1442"/>
      <c r="I22" s="1453" t="s">
        <v>203</v>
      </c>
      <c r="J22" s="1453"/>
      <c r="K22" s="1453"/>
      <c r="L22" s="1453"/>
    </row>
    <row r="23" spans="1:19" ht="22.5" customHeight="1" x14ac:dyDescent="0.3">
      <c r="B23" s="15"/>
      <c r="C23" s="1451"/>
      <c r="D23" s="168" t="s">
        <v>200</v>
      </c>
      <c r="E23" s="168" t="s">
        <v>201</v>
      </c>
      <c r="F23" s="168" t="s">
        <v>200</v>
      </c>
      <c r="G23" s="1441" t="s">
        <v>201</v>
      </c>
      <c r="H23" s="1442"/>
      <c r="I23" s="1441" t="s">
        <v>200</v>
      </c>
      <c r="J23" s="1442"/>
      <c r="K23" s="1441" t="s">
        <v>201</v>
      </c>
      <c r="L23" s="1442"/>
    </row>
    <row r="24" spans="1:19" ht="22.5" customHeight="1" x14ac:dyDescent="0.3">
      <c r="B24" s="15"/>
      <c r="C24" s="169" t="s">
        <v>205</v>
      </c>
      <c r="D24" s="170">
        <v>3</v>
      </c>
      <c r="E24" s="171">
        <v>4700000</v>
      </c>
      <c r="F24" s="170">
        <v>0</v>
      </c>
      <c r="G24" s="1443">
        <v>0</v>
      </c>
      <c r="H24" s="1444"/>
      <c r="I24" s="1439">
        <v>1</v>
      </c>
      <c r="J24" s="1440"/>
      <c r="K24" s="1443">
        <v>500000</v>
      </c>
      <c r="L24" s="1444"/>
    </row>
    <row r="25" spans="1:19" ht="22.5" customHeight="1" x14ac:dyDescent="0.3">
      <c r="B25" s="15"/>
      <c r="C25" s="169" t="s">
        <v>204</v>
      </c>
      <c r="D25" s="170">
        <v>4</v>
      </c>
      <c r="E25" s="171">
        <v>9300000</v>
      </c>
      <c r="F25" s="170">
        <v>1</v>
      </c>
      <c r="G25" s="1443">
        <v>2000000</v>
      </c>
      <c r="H25" s="1444"/>
      <c r="I25" s="1439">
        <v>0</v>
      </c>
      <c r="J25" s="1440"/>
      <c r="K25" s="1443">
        <v>0</v>
      </c>
      <c r="L25" s="1444"/>
    </row>
    <row r="26" spans="1:19" ht="22.5" customHeight="1" x14ac:dyDescent="0.3">
      <c r="B26" s="15"/>
      <c r="C26" s="172" t="s">
        <v>29</v>
      </c>
      <c r="D26" s="170">
        <f>SUM(D24:D25)</f>
        <v>7</v>
      </c>
      <c r="E26" s="171">
        <f>SUM(E24:E25)</f>
        <v>14000000</v>
      </c>
      <c r="F26" s="170">
        <f>SUM(F24:F25)</f>
        <v>1</v>
      </c>
      <c r="G26" s="1443">
        <f>SUM(G24:H25)</f>
        <v>2000000</v>
      </c>
      <c r="H26" s="1444"/>
      <c r="I26" s="1439">
        <f>SUM(I24:J25)</f>
        <v>1</v>
      </c>
      <c r="J26" s="1440"/>
      <c r="K26" s="1443">
        <f>SUM(K24:L25)</f>
        <v>500000</v>
      </c>
      <c r="L26" s="1444"/>
    </row>
    <row r="27" spans="1:19" ht="18.95" customHeight="1" x14ac:dyDescent="0.3">
      <c r="B27" s="15"/>
      <c r="C27" s="15"/>
    </row>
    <row r="28" spans="1:19" ht="18.95" customHeight="1" x14ac:dyDescent="0.3">
      <c r="A28" s="110"/>
      <c r="B28" s="93"/>
      <c r="C28" s="93"/>
    </row>
    <row r="29" spans="1:19" ht="30" customHeight="1" x14ac:dyDescent="0.3">
      <c r="A29" s="110"/>
      <c r="B29" s="166" t="s">
        <v>224</v>
      </c>
      <c r="C29" s="93"/>
    </row>
    <row r="30" spans="1:19" ht="26.25" customHeight="1" x14ac:dyDescent="0.3">
      <c r="A30" s="110"/>
      <c r="B30" s="176" t="s">
        <v>239</v>
      </c>
      <c r="C30" s="16"/>
    </row>
    <row r="31" spans="1:19" ht="18.95" customHeight="1" x14ac:dyDescent="0.3">
      <c r="A31" s="110"/>
      <c r="B31" s="16"/>
      <c r="C31" s="16"/>
    </row>
    <row r="32" spans="1:19" ht="18.95" customHeight="1" x14ac:dyDescent="0.3">
      <c r="A32" s="110"/>
      <c r="B32" s="16"/>
      <c r="C32" s="16"/>
    </row>
    <row r="33" spans="1:13" ht="18.95" customHeight="1" x14ac:dyDescent="0.3">
      <c r="A33" s="110"/>
      <c r="B33" s="16"/>
      <c r="C33" s="16"/>
    </row>
    <row r="34" spans="1:13" ht="18.95" customHeight="1" x14ac:dyDescent="0.3">
      <c r="A34" s="110"/>
      <c r="B34" s="16"/>
      <c r="C34" s="16"/>
    </row>
    <row r="35" spans="1:13" ht="18.95" customHeight="1" x14ac:dyDescent="0.3">
      <c r="A35" s="110"/>
      <c r="B35" s="93"/>
      <c r="C35" s="93"/>
      <c r="H35" s="110"/>
      <c r="I35" s="110"/>
      <c r="J35" s="94"/>
    </row>
    <row r="36" spans="1:13" ht="18.95" customHeight="1" x14ac:dyDescent="0.3">
      <c r="A36" s="18"/>
      <c r="B36" s="100"/>
      <c r="C36" s="100"/>
      <c r="H36" s="111"/>
      <c r="I36" s="111"/>
      <c r="J36" s="94"/>
    </row>
    <row r="37" spans="1:13" ht="18.95" customHeight="1" x14ac:dyDescent="0.3">
      <c r="A37" s="18"/>
      <c r="B37" s="16"/>
      <c r="C37" s="16"/>
      <c r="H37" s="110"/>
      <c r="I37" s="110"/>
      <c r="J37" s="1448"/>
      <c r="K37" s="1448"/>
      <c r="L37" s="1448"/>
      <c r="M37" s="1448"/>
    </row>
    <row r="38" spans="1:13" ht="18.95" customHeight="1" x14ac:dyDescent="0.3">
      <c r="A38" s="18"/>
      <c r="B38" s="16"/>
      <c r="C38" s="16"/>
      <c r="H38" s="17"/>
      <c r="I38" s="17"/>
      <c r="J38" s="14"/>
    </row>
    <row r="39" spans="1:13" ht="18.95" customHeight="1" x14ac:dyDescent="0.3">
      <c r="A39" s="18"/>
      <c r="B39" s="16"/>
      <c r="C39" s="16"/>
      <c r="H39" s="11"/>
      <c r="I39" s="11"/>
      <c r="J39" s="11"/>
    </row>
    <row r="40" spans="1:13" ht="18.95" customHeight="1" x14ac:dyDescent="0.3">
      <c r="A40" s="18"/>
      <c r="B40" s="16"/>
      <c r="C40" s="16"/>
    </row>
    <row r="41" spans="1:13" ht="18.95" customHeight="1" x14ac:dyDescent="0.3">
      <c r="A41" s="18"/>
      <c r="B41" s="16"/>
      <c r="C41" s="16"/>
    </row>
    <row r="42" spans="1:13" ht="18.95" customHeight="1" x14ac:dyDescent="0.3">
      <c r="A42" s="18"/>
      <c r="B42" s="93"/>
      <c r="C42" s="93"/>
    </row>
    <row r="43" spans="1:13" ht="18.95" customHeight="1" x14ac:dyDescent="0.3">
      <c r="A43" s="18"/>
      <c r="B43" s="100"/>
      <c r="C43" s="100"/>
    </row>
    <row r="44" spans="1:13" ht="18.95" customHeight="1" x14ac:dyDescent="0.3">
      <c r="A44" s="18"/>
      <c r="B44" s="16"/>
      <c r="C44" s="16"/>
    </row>
    <row r="45" spans="1:13" ht="18.95" customHeight="1" x14ac:dyDescent="0.3">
      <c r="A45" s="18"/>
      <c r="B45" s="16"/>
      <c r="C45" s="16"/>
    </row>
    <row r="46" spans="1:13" ht="18.95" customHeight="1" x14ac:dyDescent="0.3">
      <c r="A46" s="18"/>
      <c r="B46" s="16"/>
      <c r="C46" s="16"/>
    </row>
    <row r="47" spans="1:13" ht="18.95" customHeight="1" x14ac:dyDescent="0.3">
      <c r="A47" s="18"/>
      <c r="B47" s="16"/>
      <c r="C47" s="16"/>
    </row>
    <row r="48" spans="1:13" ht="18.95" customHeight="1" x14ac:dyDescent="0.3">
      <c r="A48" s="18"/>
      <c r="B48" s="16"/>
      <c r="C48" s="16"/>
    </row>
    <row r="49" spans="1:3" ht="18.95" customHeight="1" x14ac:dyDescent="0.3">
      <c r="A49" s="18"/>
      <c r="B49" s="16"/>
      <c r="C49" s="16"/>
    </row>
    <row r="50" spans="1:3" ht="18.95" customHeight="1" x14ac:dyDescent="0.3">
      <c r="A50" s="18"/>
      <c r="B50" s="16"/>
      <c r="C50" s="16"/>
    </row>
    <row r="51" spans="1:3" ht="18.95" customHeight="1" x14ac:dyDescent="0.3">
      <c r="A51" s="18"/>
      <c r="B51" s="16"/>
      <c r="C51" s="16"/>
    </row>
    <row r="52" spans="1:3" ht="18.95" customHeight="1" x14ac:dyDescent="0.3">
      <c r="A52" s="18"/>
      <c r="B52" s="16"/>
      <c r="C52" s="16"/>
    </row>
    <row r="53" spans="1:3" ht="18.95" customHeight="1" x14ac:dyDescent="0.3">
      <c r="A53" s="18"/>
      <c r="B53" s="16"/>
      <c r="C53" s="16"/>
    </row>
    <row r="54" spans="1:3" ht="18.95" customHeight="1" x14ac:dyDescent="0.3">
      <c r="A54" s="18"/>
      <c r="B54" s="16"/>
      <c r="C54" s="16"/>
    </row>
    <row r="55" spans="1:3" ht="18.95" customHeight="1" x14ac:dyDescent="0.3">
      <c r="A55" s="18"/>
      <c r="B55" s="16"/>
      <c r="C55" s="16"/>
    </row>
    <row r="56" spans="1:3" ht="18.95" customHeight="1" x14ac:dyDescent="0.3">
      <c r="A56" s="18"/>
      <c r="B56" s="16"/>
      <c r="C56" s="16"/>
    </row>
    <row r="57" spans="1:3" ht="18.95" customHeight="1" x14ac:dyDescent="0.3">
      <c r="A57" s="18"/>
      <c r="B57" s="16"/>
      <c r="C57" s="16"/>
    </row>
    <row r="58" spans="1:3" ht="18.95" customHeight="1" x14ac:dyDescent="0.3">
      <c r="A58" s="18"/>
      <c r="B58" s="93"/>
      <c r="C58" s="93"/>
    </row>
    <row r="59" spans="1:3" ht="18.95" customHeight="1" x14ac:dyDescent="0.3">
      <c r="A59" s="18"/>
      <c r="B59" s="101"/>
      <c r="C59" s="101"/>
    </row>
    <row r="60" spans="1:3" ht="18.95" customHeight="1" x14ac:dyDescent="0.3">
      <c r="A60" s="18"/>
      <c r="B60" s="109"/>
      <c r="C60" s="101"/>
    </row>
    <row r="61" spans="1:3" ht="18.95" customHeight="1" x14ac:dyDescent="0.3">
      <c r="A61" s="18"/>
      <c r="B61" s="14"/>
      <c r="C61" s="14"/>
    </row>
    <row r="62" spans="1:3" ht="18.95" customHeight="1" x14ac:dyDescent="0.3">
      <c r="A62" s="18"/>
      <c r="B62" s="14"/>
      <c r="C62" s="14"/>
    </row>
    <row r="63" spans="1:3" ht="18.95" customHeight="1" x14ac:dyDescent="0.3">
      <c r="A63" s="18"/>
      <c r="B63" s="14"/>
      <c r="C63" s="14"/>
    </row>
    <row r="64" spans="1:3" ht="18.95" customHeight="1" x14ac:dyDescent="0.3">
      <c r="A64" s="18"/>
      <c r="B64" s="14"/>
      <c r="C64" s="14"/>
    </row>
    <row r="65" spans="1:5" ht="18.95" customHeight="1" x14ac:dyDescent="0.3">
      <c r="A65" s="18"/>
      <c r="B65" s="14"/>
      <c r="C65" s="14"/>
    </row>
    <row r="66" spans="1:5" ht="18.95" customHeight="1" x14ac:dyDescent="0.3">
      <c r="A66" s="18"/>
      <c r="B66" s="14"/>
      <c r="C66" s="14"/>
    </row>
    <row r="67" spans="1:5" ht="18.95" customHeight="1" x14ac:dyDescent="0.3">
      <c r="A67" s="18"/>
      <c r="B67" s="14"/>
      <c r="C67" s="14"/>
    </row>
    <row r="68" spans="1:5" ht="18.95" customHeight="1" x14ac:dyDescent="0.3">
      <c r="A68" s="18"/>
      <c r="B68" s="14"/>
      <c r="C68" s="14"/>
    </row>
    <row r="69" spans="1:5" ht="18.95" customHeight="1" x14ac:dyDescent="0.3">
      <c r="A69" s="18"/>
      <c r="B69" s="16"/>
      <c r="C69" s="16"/>
    </row>
    <row r="70" spans="1:5" ht="18.95" customHeight="1" x14ac:dyDescent="0.3">
      <c r="A70" s="18"/>
      <c r="B70" s="93"/>
      <c r="C70" s="93"/>
    </row>
    <row r="71" spans="1:5" ht="18.95" customHeight="1" x14ac:dyDescent="0.3">
      <c r="A71" s="18"/>
      <c r="B71" s="94"/>
      <c r="C71" s="94"/>
    </row>
    <row r="72" spans="1:5" ht="18.95" customHeight="1" x14ac:dyDescent="0.3">
      <c r="A72" s="18"/>
      <c r="B72" s="104"/>
      <c r="C72" s="104"/>
    </row>
    <row r="73" spans="1:5" ht="18.95" customHeight="1" x14ac:dyDescent="0.3">
      <c r="A73" s="17"/>
      <c r="B73" s="14"/>
      <c r="C73" s="14"/>
      <c r="D73" s="14"/>
      <c r="E73" s="14"/>
    </row>
    <row r="74" spans="1:5" x14ac:dyDescent="0.3">
      <c r="A74" s="12"/>
    </row>
    <row r="75" spans="1:5" x14ac:dyDescent="0.3">
      <c r="A75" s="12"/>
    </row>
    <row r="76" spans="1:5" x14ac:dyDescent="0.3">
      <c r="A76" s="12"/>
    </row>
    <row r="77" spans="1:5" x14ac:dyDescent="0.3">
      <c r="A77" s="12"/>
    </row>
    <row r="78" spans="1:5" x14ac:dyDescent="0.3">
      <c r="A78" s="12"/>
    </row>
    <row r="79" spans="1:5" x14ac:dyDescent="0.3">
      <c r="A79" s="12"/>
    </row>
    <row r="80" spans="1:5" x14ac:dyDescent="0.3">
      <c r="A80" s="12"/>
    </row>
    <row r="81" spans="1:3" x14ac:dyDescent="0.3">
      <c r="A81" s="12"/>
    </row>
    <row r="82" spans="1:3" x14ac:dyDescent="0.3">
      <c r="A82" s="12"/>
    </row>
    <row r="83" spans="1:3" x14ac:dyDescent="0.3">
      <c r="A83" s="12"/>
    </row>
    <row r="84" spans="1:3" x14ac:dyDescent="0.3">
      <c r="A84" s="17"/>
      <c r="B84" s="14"/>
      <c r="C84" s="14"/>
    </row>
    <row r="85" spans="1:3" x14ac:dyDescent="0.3">
      <c r="A85" s="17"/>
      <c r="B85" s="14"/>
      <c r="C85" s="14"/>
    </row>
    <row r="86" spans="1:3" x14ac:dyDescent="0.3">
      <c r="A86" s="17"/>
    </row>
  </sheetData>
  <mergeCells count="42">
    <mergeCell ref="A1:S1"/>
    <mergeCell ref="A2:S2"/>
    <mergeCell ref="B4:F4"/>
    <mergeCell ref="G4:J4"/>
    <mergeCell ref="A4:A6"/>
    <mergeCell ref="B5:B6"/>
    <mergeCell ref="C5:C6"/>
    <mergeCell ref="D5:D6"/>
    <mergeCell ref="E5:E6"/>
    <mergeCell ref="F5:F6"/>
    <mergeCell ref="G5:H5"/>
    <mergeCell ref="I5:J5"/>
    <mergeCell ref="K4:M4"/>
    <mergeCell ref="N4:R4"/>
    <mergeCell ref="S4:S6"/>
    <mergeCell ref="R5:R6"/>
    <mergeCell ref="J37:M37"/>
    <mergeCell ref="A19:B19"/>
    <mergeCell ref="C22:C23"/>
    <mergeCell ref="D22:E22"/>
    <mergeCell ref="F22:H22"/>
    <mergeCell ref="G23:H23"/>
    <mergeCell ref="G24:H24"/>
    <mergeCell ref="G25:H25"/>
    <mergeCell ref="G26:H26"/>
    <mergeCell ref="I22:L22"/>
    <mergeCell ref="C21:L21"/>
    <mergeCell ref="I23:J23"/>
    <mergeCell ref="I24:J24"/>
    <mergeCell ref="I25:J25"/>
    <mergeCell ref="Q5:Q6"/>
    <mergeCell ref="P5:P6"/>
    <mergeCell ref="N5:N6"/>
    <mergeCell ref="M5:M6"/>
    <mergeCell ref="L5:L6"/>
    <mergeCell ref="O5:O6"/>
    <mergeCell ref="K5:K6"/>
    <mergeCell ref="I26:J26"/>
    <mergeCell ref="K23:L23"/>
    <mergeCell ref="K24:L24"/>
    <mergeCell ref="K25:L25"/>
    <mergeCell ref="K26:L26"/>
  </mergeCells>
  <printOptions horizontalCentered="1"/>
  <pageMargins left="0.25" right="0" top="0.59055118110236204" bottom="0.196850393700787" header="0.31496062992126" footer="0.31496062992126"/>
  <pageSetup paperSize="9" scale="54" orientation="landscape" r:id="rId1"/>
  <headerFooter scaleWithDoc="0"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68"/>
  <sheetViews>
    <sheetView zoomScale="55" zoomScaleNormal="55" workbookViewId="0">
      <pane ySplit="8" topLeftCell="A9" activePane="bottomLeft" state="frozen"/>
      <selection pane="bottomLeft" activeCell="H46" sqref="H46"/>
    </sheetView>
  </sheetViews>
  <sheetFormatPr defaultColWidth="9" defaultRowHeight="18.75" x14ac:dyDescent="0.3"/>
  <cols>
    <col min="1" max="1" width="5.625" style="11" customWidth="1"/>
    <col min="2" max="2" width="25.625" style="91" customWidth="1"/>
    <col min="3" max="3" width="11.625" style="11" customWidth="1"/>
    <col min="4" max="4" width="22" style="11" customWidth="1"/>
    <col min="5" max="5" width="12.625" style="11" customWidth="1"/>
    <col min="6" max="6" width="12.875" style="67" customWidth="1"/>
    <col min="7" max="7" width="11.625" style="67" customWidth="1"/>
    <col min="8" max="8" width="12.125" style="67" customWidth="1"/>
    <col min="9" max="12" width="8.625" style="11" customWidth="1"/>
    <col min="13" max="13" width="12.375" style="11" customWidth="1"/>
    <col min="14" max="14" width="11.375" style="11" customWidth="1"/>
    <col min="15" max="15" width="14.375" style="11" customWidth="1"/>
    <col min="16" max="20" width="11.625" style="11" customWidth="1"/>
    <col min="21" max="21" width="33.625" style="11" customWidth="1"/>
    <col min="22" max="16384" width="9" style="11"/>
  </cols>
  <sheetData>
    <row r="1" spans="1:21" ht="23.25" x14ac:dyDescent="0.3">
      <c r="A1" s="1455" t="s">
        <v>235</v>
      </c>
      <c r="B1" s="1455"/>
      <c r="C1" s="1455"/>
      <c r="D1" s="1455"/>
      <c r="E1" s="1455"/>
      <c r="F1" s="1455"/>
      <c r="G1" s="1455"/>
      <c r="H1" s="1455"/>
      <c r="I1" s="1455"/>
      <c r="J1" s="1455"/>
      <c r="K1" s="1455"/>
      <c r="L1" s="1455"/>
      <c r="M1" s="1455"/>
      <c r="N1" s="1455"/>
      <c r="O1" s="1455"/>
      <c r="P1" s="1455"/>
      <c r="Q1" s="1455"/>
      <c r="R1" s="1455"/>
      <c r="S1" s="1455"/>
      <c r="T1" s="1455"/>
      <c r="U1" s="1455"/>
    </row>
    <row r="2" spans="1:21" ht="23.25" x14ac:dyDescent="0.3">
      <c r="A2" s="1489" t="s">
        <v>245</v>
      </c>
      <c r="B2" s="1489"/>
      <c r="C2" s="1489"/>
      <c r="D2" s="1489"/>
      <c r="E2" s="1489"/>
      <c r="F2" s="1489"/>
      <c r="G2" s="1489"/>
      <c r="H2" s="1489"/>
      <c r="I2" s="1489"/>
      <c r="J2" s="1489"/>
      <c r="K2" s="1489"/>
      <c r="L2" s="1489"/>
      <c r="M2" s="1489"/>
      <c r="N2" s="1489"/>
      <c r="O2" s="1489"/>
      <c r="P2" s="1489"/>
      <c r="Q2" s="1489"/>
      <c r="R2" s="1489"/>
      <c r="S2" s="1489"/>
      <c r="T2" s="1489"/>
      <c r="U2" s="1489"/>
    </row>
    <row r="3" spans="1:21" ht="27" customHeight="1" x14ac:dyDescent="0.3">
      <c r="A3" s="1455" t="s">
        <v>758</v>
      </c>
      <c r="B3" s="1455"/>
      <c r="C3" s="1455"/>
      <c r="D3" s="1455"/>
      <c r="E3" s="1455"/>
      <c r="F3" s="1455"/>
      <c r="G3" s="1455"/>
      <c r="H3" s="1455"/>
      <c r="I3" s="1455"/>
      <c r="J3" s="1455"/>
      <c r="K3" s="1455"/>
      <c r="L3" s="1455"/>
      <c r="M3" s="1455"/>
      <c r="N3" s="1455"/>
      <c r="O3" s="1455"/>
      <c r="P3" s="1455"/>
      <c r="Q3" s="1455"/>
      <c r="R3" s="1455"/>
      <c r="S3" s="1455"/>
      <c r="T3" s="1455"/>
      <c r="U3" s="1455"/>
    </row>
    <row r="4" spans="1:21" ht="26.25" customHeight="1" x14ac:dyDescent="0.3">
      <c r="A4" s="23"/>
      <c r="B4" s="70"/>
      <c r="C4" s="23"/>
      <c r="D4" s="23"/>
      <c r="E4" s="23"/>
      <c r="F4" s="994"/>
      <c r="G4" s="994"/>
      <c r="O4" s="134"/>
      <c r="U4" s="163" t="s">
        <v>237</v>
      </c>
    </row>
    <row r="5" spans="1:21" x14ac:dyDescent="0.3">
      <c r="A5" s="1490" t="s">
        <v>0</v>
      </c>
      <c r="B5" s="1484" t="s">
        <v>184</v>
      </c>
      <c r="C5" s="1484"/>
      <c r="D5" s="1483" t="s">
        <v>246</v>
      </c>
      <c r="E5" s="1483"/>
      <c r="F5" s="1483"/>
      <c r="G5" s="1483"/>
      <c r="H5" s="1483"/>
      <c r="I5" s="1483"/>
      <c r="J5" s="1483"/>
      <c r="K5" s="1483"/>
      <c r="L5" s="1483"/>
      <c r="M5" s="1483"/>
      <c r="N5" s="1483"/>
      <c r="O5" s="1483"/>
      <c r="P5" s="1483"/>
      <c r="Q5" s="1483"/>
      <c r="R5" s="1483"/>
      <c r="S5" s="1483"/>
      <c r="T5" s="1483"/>
      <c r="U5" s="1483"/>
    </row>
    <row r="6" spans="1:21" s="931" customFormat="1" ht="18.75" customHeight="1" x14ac:dyDescent="0.5">
      <c r="A6" s="1490"/>
      <c r="B6" s="1491" t="s">
        <v>247</v>
      </c>
      <c r="C6" s="1491" t="s">
        <v>201</v>
      </c>
      <c r="D6" s="1492" t="s">
        <v>178</v>
      </c>
      <c r="E6" s="1492" t="s">
        <v>192</v>
      </c>
      <c r="F6" s="1477" t="s">
        <v>179</v>
      </c>
      <c r="G6" s="1477" t="s">
        <v>180</v>
      </c>
      <c r="H6" s="1477" t="s">
        <v>181</v>
      </c>
      <c r="I6" s="1493" t="s">
        <v>182</v>
      </c>
      <c r="J6" s="1493"/>
      <c r="K6" s="1493"/>
      <c r="L6" s="1493"/>
      <c r="M6" s="1494" t="s">
        <v>218</v>
      </c>
      <c r="N6" s="1494"/>
      <c r="O6" s="1494"/>
      <c r="P6" s="1495" t="s">
        <v>227</v>
      </c>
      <c r="Q6" s="1495"/>
      <c r="R6" s="1495"/>
      <c r="S6" s="1495"/>
      <c r="T6" s="1495"/>
      <c r="U6" s="1496" t="s">
        <v>759</v>
      </c>
    </row>
    <row r="7" spans="1:21" s="931" customFormat="1" ht="71.25" customHeight="1" x14ac:dyDescent="0.5">
      <c r="A7" s="1490"/>
      <c r="B7" s="1491"/>
      <c r="C7" s="1491"/>
      <c r="D7" s="1492"/>
      <c r="E7" s="1492"/>
      <c r="F7" s="1477"/>
      <c r="G7" s="1477"/>
      <c r="H7" s="1477"/>
      <c r="I7" s="1485" t="s">
        <v>220</v>
      </c>
      <c r="J7" s="1485"/>
      <c r="K7" s="1485" t="s">
        <v>221</v>
      </c>
      <c r="L7" s="1485"/>
      <c r="M7" s="1486" t="s">
        <v>183</v>
      </c>
      <c r="N7" s="1476" t="s">
        <v>222</v>
      </c>
      <c r="O7" s="1476" t="s">
        <v>231</v>
      </c>
      <c r="P7" s="1499" t="s">
        <v>228</v>
      </c>
      <c r="Q7" s="1487" t="s">
        <v>241</v>
      </c>
      <c r="R7" s="1500" t="s">
        <v>242</v>
      </c>
      <c r="S7" s="1500" t="s">
        <v>243</v>
      </c>
      <c r="T7" s="1499" t="s">
        <v>244</v>
      </c>
      <c r="U7" s="1497"/>
    </row>
    <row r="8" spans="1:21" s="931" customFormat="1" ht="25.5" customHeight="1" x14ac:dyDescent="0.5">
      <c r="A8" s="1490"/>
      <c r="B8" s="1491"/>
      <c r="C8" s="1491"/>
      <c r="D8" s="1492"/>
      <c r="E8" s="1492"/>
      <c r="F8" s="1477"/>
      <c r="G8" s="1477"/>
      <c r="H8" s="1477"/>
      <c r="I8" s="932" t="s">
        <v>215</v>
      </c>
      <c r="J8" s="932" t="s">
        <v>216</v>
      </c>
      <c r="K8" s="932" t="s">
        <v>217</v>
      </c>
      <c r="L8" s="932" t="s">
        <v>216</v>
      </c>
      <c r="M8" s="1486"/>
      <c r="N8" s="1476"/>
      <c r="O8" s="1476"/>
      <c r="P8" s="1499"/>
      <c r="Q8" s="1488"/>
      <c r="R8" s="1500"/>
      <c r="S8" s="1500"/>
      <c r="T8" s="1499"/>
      <c r="U8" s="1498"/>
    </row>
    <row r="9" spans="1:21" s="933" customFormat="1" ht="24" x14ac:dyDescent="0.55000000000000004">
      <c r="A9" s="935"/>
      <c r="B9" s="936"/>
      <c r="C9" s="937">
        <f>C10</f>
        <v>71200</v>
      </c>
      <c r="D9" s="936"/>
      <c r="E9" s="938"/>
      <c r="F9" s="995">
        <f>F10</f>
        <v>71200</v>
      </c>
      <c r="G9" s="995"/>
      <c r="H9" s="995">
        <f>H10</f>
        <v>71200</v>
      </c>
      <c r="I9" s="939"/>
      <c r="J9" s="939"/>
      <c r="K9" s="939"/>
      <c r="L9" s="939"/>
      <c r="M9" s="940"/>
      <c r="N9" s="939"/>
      <c r="O9" s="939"/>
      <c r="P9" s="941">
        <v>0</v>
      </c>
      <c r="Q9" s="941">
        <f>SUM(Q10:Q11)</f>
        <v>0</v>
      </c>
      <c r="R9" s="941">
        <v>0</v>
      </c>
      <c r="S9" s="941">
        <v>0</v>
      </c>
      <c r="T9" s="941">
        <v>0</v>
      </c>
      <c r="U9" s="942"/>
    </row>
    <row r="10" spans="1:21" s="934" customFormat="1" ht="168" x14ac:dyDescent="0.55000000000000004">
      <c r="A10" s="950"/>
      <c r="B10" s="951" t="s">
        <v>249</v>
      </c>
      <c r="C10" s="952">
        <v>71200</v>
      </c>
      <c r="D10" s="953" t="s">
        <v>771</v>
      </c>
      <c r="E10" s="953" t="s">
        <v>764</v>
      </c>
      <c r="F10" s="996">
        <v>71200</v>
      </c>
      <c r="G10" s="996"/>
      <c r="H10" s="996">
        <f>F10</f>
        <v>71200</v>
      </c>
      <c r="I10" s="954"/>
      <c r="J10" s="954"/>
      <c r="K10" s="954"/>
      <c r="L10" s="954"/>
      <c r="M10" s="955"/>
      <c r="N10" s="954"/>
      <c r="O10" s="954"/>
      <c r="P10" s="956"/>
      <c r="Q10" s="956"/>
      <c r="R10" s="956"/>
      <c r="S10" s="956"/>
      <c r="T10" s="956"/>
      <c r="U10" s="957" t="s">
        <v>767</v>
      </c>
    </row>
    <row r="11" spans="1:21" s="933" customFormat="1" ht="24.6" customHeight="1" x14ac:dyDescent="0.55000000000000004">
      <c r="A11" s="943"/>
      <c r="B11" s="944"/>
      <c r="C11" s="945">
        <f>C12</f>
        <v>684000</v>
      </c>
      <c r="D11" s="946"/>
      <c r="E11" s="946"/>
      <c r="F11" s="997">
        <f>F12</f>
        <v>684000</v>
      </c>
      <c r="G11" s="997"/>
      <c r="H11" s="997">
        <f>H12</f>
        <v>684000</v>
      </c>
      <c r="I11" s="943"/>
      <c r="J11" s="943"/>
      <c r="K11" s="943"/>
      <c r="L11" s="943"/>
      <c r="M11" s="947"/>
      <c r="N11" s="943"/>
      <c r="O11" s="943"/>
      <c r="P11" s="948"/>
      <c r="Q11" s="948"/>
      <c r="R11" s="948"/>
      <c r="S11" s="948"/>
      <c r="T11" s="948"/>
      <c r="U11" s="949"/>
    </row>
    <row r="12" spans="1:21" s="933" customFormat="1" ht="216" x14ac:dyDescent="0.55000000000000004">
      <c r="A12" s="958"/>
      <c r="B12" s="959" t="s">
        <v>270</v>
      </c>
      <c r="C12" s="960">
        <v>684000</v>
      </c>
      <c r="D12" s="961" t="s">
        <v>766</v>
      </c>
      <c r="E12" s="962" t="s">
        <v>765</v>
      </c>
      <c r="F12" s="998">
        <v>684000</v>
      </c>
      <c r="G12" s="998"/>
      <c r="H12" s="998">
        <f>F12</f>
        <v>684000</v>
      </c>
      <c r="I12" s="963"/>
      <c r="J12" s="963"/>
      <c r="K12" s="963"/>
      <c r="L12" s="963"/>
      <c r="M12" s="964"/>
      <c r="N12" s="963"/>
      <c r="O12" s="963"/>
      <c r="P12" s="965"/>
      <c r="Q12" s="965"/>
      <c r="R12" s="965"/>
      <c r="S12" s="965"/>
      <c r="T12" s="965"/>
      <c r="U12" s="966" t="s">
        <v>767</v>
      </c>
    </row>
    <row r="13" spans="1:21" s="933" customFormat="1" ht="27.6" customHeight="1" x14ac:dyDescent="0.55000000000000004">
      <c r="A13" s="943"/>
      <c r="B13" s="944"/>
      <c r="C13" s="945">
        <f>C14+C15+C16</f>
        <v>312000</v>
      </c>
      <c r="D13" s="946"/>
      <c r="E13" s="946"/>
      <c r="F13" s="997">
        <f>F14</f>
        <v>312000</v>
      </c>
      <c r="G13" s="997"/>
      <c r="H13" s="997">
        <f>H14</f>
        <v>312000</v>
      </c>
      <c r="I13" s="943"/>
      <c r="J13" s="943"/>
      <c r="K13" s="943"/>
      <c r="L13" s="943"/>
      <c r="M13" s="947"/>
      <c r="N13" s="943"/>
      <c r="O13" s="943"/>
      <c r="P13" s="948"/>
      <c r="Q13" s="948"/>
      <c r="R13" s="948"/>
      <c r="S13" s="948"/>
      <c r="T13" s="948"/>
      <c r="U13" s="949"/>
    </row>
    <row r="14" spans="1:21" s="933" customFormat="1" ht="144" x14ac:dyDescent="0.55000000000000004">
      <c r="A14" s="967"/>
      <c r="B14" s="968" t="s">
        <v>760</v>
      </c>
      <c r="C14" s="969">
        <v>190000</v>
      </c>
      <c r="D14" s="1501" t="s">
        <v>762</v>
      </c>
      <c r="E14" s="1502" t="s">
        <v>763</v>
      </c>
      <c r="F14" s="1503">
        <v>312000</v>
      </c>
      <c r="G14" s="1503"/>
      <c r="H14" s="1503">
        <f>F14</f>
        <v>312000</v>
      </c>
      <c r="I14" s="1504"/>
      <c r="J14" s="1504"/>
      <c r="K14" s="1504"/>
      <c r="L14" s="1504"/>
      <c r="M14" s="1504"/>
      <c r="N14" s="1504"/>
      <c r="O14" s="1504"/>
      <c r="P14" s="1504"/>
      <c r="Q14" s="1504"/>
      <c r="R14" s="1504"/>
      <c r="S14" s="1504"/>
      <c r="T14" s="1504"/>
      <c r="U14" s="970" t="s">
        <v>761</v>
      </c>
    </row>
    <row r="15" spans="1:21" s="933" customFormat="1" ht="120" x14ac:dyDescent="0.55000000000000004">
      <c r="A15" s="967"/>
      <c r="B15" s="971" t="s">
        <v>302</v>
      </c>
      <c r="C15" s="969">
        <v>22000</v>
      </c>
      <c r="D15" s="1501"/>
      <c r="E15" s="1502"/>
      <c r="F15" s="1503"/>
      <c r="G15" s="1503"/>
      <c r="H15" s="1503"/>
      <c r="I15" s="1504"/>
      <c r="J15" s="1504"/>
      <c r="K15" s="1504"/>
      <c r="L15" s="1504"/>
      <c r="M15" s="1504"/>
      <c r="N15" s="1504"/>
      <c r="O15" s="1504"/>
      <c r="P15" s="1504"/>
      <c r="Q15" s="1504"/>
      <c r="R15" s="1504"/>
      <c r="S15" s="1504"/>
      <c r="T15" s="1504"/>
      <c r="U15" s="970"/>
    </row>
    <row r="16" spans="1:21" s="933" customFormat="1" ht="144" x14ac:dyDescent="0.55000000000000004">
      <c r="A16" s="967"/>
      <c r="B16" s="971" t="s">
        <v>304</v>
      </c>
      <c r="C16" s="969">
        <v>100000</v>
      </c>
      <c r="D16" s="1501"/>
      <c r="E16" s="1502"/>
      <c r="F16" s="1503"/>
      <c r="G16" s="1503"/>
      <c r="H16" s="1503"/>
      <c r="I16" s="1504"/>
      <c r="J16" s="1504"/>
      <c r="K16" s="1504"/>
      <c r="L16" s="1504"/>
      <c r="M16" s="1504"/>
      <c r="N16" s="1504"/>
      <c r="O16" s="1504"/>
      <c r="P16" s="1504"/>
      <c r="Q16" s="1504"/>
      <c r="R16" s="1504"/>
      <c r="S16" s="1504"/>
      <c r="T16" s="1504"/>
      <c r="U16" s="970"/>
    </row>
    <row r="17" spans="1:21" s="933" customFormat="1" ht="24" x14ac:dyDescent="0.55000000000000004">
      <c r="A17" s="943"/>
      <c r="B17" s="944"/>
      <c r="C17" s="945">
        <f>C18</f>
        <v>500000</v>
      </c>
      <c r="D17" s="946"/>
      <c r="E17" s="946"/>
      <c r="F17" s="997">
        <f>F18</f>
        <v>500000</v>
      </c>
      <c r="G17" s="997"/>
      <c r="H17" s="997">
        <f>F17</f>
        <v>500000</v>
      </c>
      <c r="I17" s="943"/>
      <c r="J17" s="943"/>
      <c r="K17" s="943"/>
      <c r="L17" s="943"/>
      <c r="M17" s="947"/>
      <c r="N17" s="943"/>
      <c r="O17" s="943"/>
      <c r="P17" s="948"/>
      <c r="Q17" s="948"/>
      <c r="R17" s="948"/>
      <c r="S17" s="948"/>
      <c r="T17" s="948"/>
      <c r="U17" s="949"/>
    </row>
    <row r="18" spans="1:21" s="933" customFormat="1" ht="216" x14ac:dyDescent="0.55000000000000004">
      <c r="A18" s="972"/>
      <c r="B18" s="973" t="s">
        <v>768</v>
      </c>
      <c r="C18" s="974">
        <v>500000</v>
      </c>
      <c r="D18" s="975" t="s">
        <v>769</v>
      </c>
      <c r="E18" s="975" t="s">
        <v>770</v>
      </c>
      <c r="F18" s="999">
        <v>500000</v>
      </c>
      <c r="G18" s="999"/>
      <c r="H18" s="999">
        <f>F18</f>
        <v>500000</v>
      </c>
      <c r="I18" s="972"/>
      <c r="J18" s="972"/>
      <c r="K18" s="972"/>
      <c r="L18" s="972"/>
      <c r="M18" s="976"/>
      <c r="N18" s="972"/>
      <c r="O18" s="972"/>
      <c r="P18" s="977"/>
      <c r="Q18" s="977"/>
      <c r="R18" s="977"/>
      <c r="S18" s="977"/>
      <c r="T18" s="977"/>
      <c r="U18" s="978" t="s">
        <v>767</v>
      </c>
    </row>
    <row r="19" spans="1:21" s="933" customFormat="1" ht="24" x14ac:dyDescent="0.55000000000000004">
      <c r="A19" s="972"/>
      <c r="B19" s="973"/>
      <c r="C19" s="974"/>
      <c r="D19" s="975"/>
      <c r="E19" s="975"/>
      <c r="F19" s="999"/>
      <c r="G19" s="999"/>
      <c r="H19" s="999"/>
      <c r="I19" s="972"/>
      <c r="J19" s="972"/>
      <c r="K19" s="972"/>
      <c r="L19" s="972"/>
      <c r="M19" s="976"/>
      <c r="N19" s="972"/>
      <c r="O19" s="972"/>
      <c r="P19" s="977"/>
      <c r="Q19" s="977"/>
      <c r="R19" s="977"/>
      <c r="S19" s="977"/>
      <c r="T19" s="977"/>
      <c r="U19" s="978"/>
    </row>
    <row r="20" spans="1:21" s="933" customFormat="1" ht="24" x14ac:dyDescent="0.55000000000000004">
      <c r="A20" s="943"/>
      <c r="B20" s="987"/>
      <c r="C20" s="945">
        <f>C21</f>
        <v>510000</v>
      </c>
      <c r="D20" s="946"/>
      <c r="E20" s="946"/>
      <c r="F20" s="997">
        <f>F21</f>
        <v>518000</v>
      </c>
      <c r="G20" s="997"/>
      <c r="H20" s="997">
        <f>F20</f>
        <v>518000</v>
      </c>
      <c r="I20" s="943"/>
      <c r="J20" s="943"/>
      <c r="K20" s="943"/>
      <c r="L20" s="943"/>
      <c r="M20" s="947"/>
      <c r="N20" s="943"/>
      <c r="O20" s="943"/>
      <c r="P20" s="948"/>
      <c r="Q20" s="948"/>
      <c r="R20" s="948"/>
      <c r="S20" s="948"/>
      <c r="T20" s="948"/>
      <c r="U20" s="949"/>
    </row>
    <row r="21" spans="1:21" s="933" customFormat="1" ht="168" x14ac:dyDescent="0.55000000000000004">
      <c r="A21" s="979"/>
      <c r="B21" s="980" t="s">
        <v>301</v>
      </c>
      <c r="C21" s="981">
        <v>510000</v>
      </c>
      <c r="D21" s="982" t="s">
        <v>772</v>
      </c>
      <c r="E21" s="982" t="s">
        <v>774</v>
      </c>
      <c r="F21" s="1000">
        <v>518000</v>
      </c>
      <c r="G21" s="1000"/>
      <c r="H21" s="1000">
        <f>F21</f>
        <v>518000</v>
      </c>
      <c r="I21" s="979"/>
      <c r="J21" s="979"/>
      <c r="K21" s="979"/>
      <c r="L21" s="979"/>
      <c r="M21" s="983"/>
      <c r="N21" s="979"/>
      <c r="O21" s="979"/>
      <c r="P21" s="984"/>
      <c r="Q21" s="984"/>
      <c r="R21" s="984"/>
      <c r="S21" s="984"/>
      <c r="T21" s="984"/>
      <c r="U21" s="1505" t="s">
        <v>773</v>
      </c>
    </row>
    <row r="22" spans="1:21" s="933" customFormat="1" ht="72" x14ac:dyDescent="0.55000000000000004">
      <c r="A22" s="979"/>
      <c r="B22" s="980" t="s">
        <v>778</v>
      </c>
      <c r="C22" s="985">
        <v>8000</v>
      </c>
      <c r="D22" s="982"/>
      <c r="E22" s="982"/>
      <c r="F22" s="1000"/>
      <c r="G22" s="1000"/>
      <c r="H22" s="1000"/>
      <c r="I22" s="979"/>
      <c r="J22" s="979"/>
      <c r="K22" s="979"/>
      <c r="L22" s="979"/>
      <c r="M22" s="983"/>
      <c r="N22" s="979"/>
      <c r="O22" s="979"/>
      <c r="P22" s="984"/>
      <c r="Q22" s="984"/>
      <c r="R22" s="984"/>
      <c r="S22" s="984"/>
      <c r="T22" s="984"/>
      <c r="U22" s="1505"/>
    </row>
    <row r="23" spans="1:21" s="933" customFormat="1" ht="24" x14ac:dyDescent="0.55000000000000004">
      <c r="A23" s="943"/>
      <c r="B23" s="944"/>
      <c r="C23" s="986">
        <f>C24+C26+C27+C28+C29+C30+C31</f>
        <v>654500</v>
      </c>
      <c r="D23" s="946"/>
      <c r="E23" s="946"/>
      <c r="F23" s="997">
        <f>F24</f>
        <v>654500</v>
      </c>
      <c r="G23" s="997"/>
      <c r="H23" s="997"/>
      <c r="I23" s="943"/>
      <c r="J23" s="943"/>
      <c r="K23" s="943"/>
      <c r="L23" s="943"/>
      <c r="M23" s="947"/>
      <c r="N23" s="943"/>
      <c r="O23" s="943"/>
      <c r="P23" s="948"/>
      <c r="Q23" s="948"/>
      <c r="R23" s="948"/>
      <c r="S23" s="948"/>
      <c r="T23" s="948"/>
      <c r="U23" s="946"/>
    </row>
    <row r="24" spans="1:21" s="933" customFormat="1" ht="96" x14ac:dyDescent="0.55000000000000004">
      <c r="A24" s="988"/>
      <c r="B24" s="989" t="s">
        <v>249</v>
      </c>
      <c r="C24" s="990">
        <v>62800</v>
      </c>
      <c r="D24" s="991" t="s">
        <v>775</v>
      </c>
      <c r="E24" s="991" t="s">
        <v>776</v>
      </c>
      <c r="F24" s="1001">
        <v>654500</v>
      </c>
      <c r="G24" s="1001"/>
      <c r="H24" s="1001"/>
      <c r="I24" s="988"/>
      <c r="J24" s="988"/>
      <c r="K24" s="988"/>
      <c r="L24" s="988"/>
      <c r="M24" s="992"/>
      <c r="N24" s="988"/>
      <c r="O24" s="988"/>
      <c r="P24" s="993"/>
      <c r="Q24" s="993"/>
      <c r="R24" s="993"/>
      <c r="S24" s="993"/>
      <c r="T24" s="993"/>
      <c r="U24" s="991" t="s">
        <v>773</v>
      </c>
    </row>
    <row r="25" spans="1:21" s="933" customFormat="1" ht="24" x14ac:dyDescent="0.55000000000000004">
      <c r="A25" s="988"/>
      <c r="B25" s="989"/>
      <c r="C25" s="990"/>
      <c r="D25" s="991"/>
      <c r="E25" s="991"/>
      <c r="F25" s="1001"/>
      <c r="G25" s="1001"/>
      <c r="H25" s="1001"/>
      <c r="I25" s="988"/>
      <c r="J25" s="988"/>
      <c r="K25" s="988"/>
      <c r="L25" s="988"/>
      <c r="M25" s="992"/>
      <c r="N25" s="988"/>
      <c r="O25" s="988"/>
      <c r="P25" s="993"/>
      <c r="Q25" s="993"/>
      <c r="R25" s="993"/>
      <c r="S25" s="993"/>
      <c r="T25" s="993"/>
      <c r="U25" s="991"/>
    </row>
    <row r="26" spans="1:21" s="933" customFormat="1" ht="86.45" customHeight="1" x14ac:dyDescent="0.55000000000000004">
      <c r="A26" s="988"/>
      <c r="B26" s="989" t="s">
        <v>266</v>
      </c>
      <c r="C26" s="990">
        <v>72000</v>
      </c>
      <c r="D26" s="991"/>
      <c r="E26" s="991"/>
      <c r="F26" s="1001"/>
      <c r="G26" s="1001"/>
      <c r="H26" s="1001"/>
      <c r="I26" s="988"/>
      <c r="J26" s="988"/>
      <c r="K26" s="988"/>
      <c r="L26" s="988"/>
      <c r="M26" s="992"/>
      <c r="N26" s="988"/>
      <c r="O26" s="988"/>
      <c r="P26" s="993"/>
      <c r="Q26" s="993"/>
      <c r="R26" s="993"/>
      <c r="S26" s="993"/>
      <c r="T26" s="993"/>
      <c r="U26" s="991"/>
    </row>
    <row r="27" spans="1:21" s="933" customFormat="1" ht="48" x14ac:dyDescent="0.55000000000000004">
      <c r="A27" s="988"/>
      <c r="B27" s="989" t="s">
        <v>270</v>
      </c>
      <c r="C27" s="990">
        <v>55500</v>
      </c>
      <c r="D27" s="991"/>
      <c r="E27" s="991"/>
      <c r="F27" s="1001"/>
      <c r="G27" s="1001"/>
      <c r="H27" s="1001"/>
      <c r="I27" s="988"/>
      <c r="J27" s="988"/>
      <c r="K27" s="988"/>
      <c r="L27" s="988"/>
      <c r="M27" s="992"/>
      <c r="N27" s="988"/>
      <c r="O27" s="988"/>
      <c r="P27" s="993"/>
      <c r="Q27" s="993"/>
      <c r="R27" s="993"/>
      <c r="S27" s="993"/>
      <c r="T27" s="993"/>
      <c r="U27" s="991"/>
    </row>
    <row r="28" spans="1:21" s="933" customFormat="1" ht="120" x14ac:dyDescent="0.55000000000000004">
      <c r="A28" s="988"/>
      <c r="B28" s="989" t="s">
        <v>274</v>
      </c>
      <c r="C28" s="990">
        <v>98000</v>
      </c>
      <c r="D28" s="991"/>
      <c r="E28" s="991"/>
      <c r="F28" s="1001"/>
      <c r="G28" s="1001"/>
      <c r="H28" s="1001"/>
      <c r="I28" s="988"/>
      <c r="J28" s="988"/>
      <c r="K28" s="988"/>
      <c r="L28" s="988"/>
      <c r="M28" s="992"/>
      <c r="N28" s="988"/>
      <c r="O28" s="988"/>
      <c r="P28" s="993"/>
      <c r="Q28" s="993"/>
      <c r="R28" s="993"/>
      <c r="S28" s="993"/>
      <c r="T28" s="993"/>
      <c r="U28" s="991"/>
    </row>
    <row r="29" spans="1:21" s="933" customFormat="1" ht="96" x14ac:dyDescent="0.55000000000000004">
      <c r="A29" s="988"/>
      <c r="B29" s="989" t="s">
        <v>779</v>
      </c>
      <c r="C29" s="990">
        <v>10000</v>
      </c>
      <c r="D29" s="991"/>
      <c r="E29" s="991"/>
      <c r="F29" s="1001"/>
      <c r="G29" s="1001"/>
      <c r="H29" s="1001"/>
      <c r="I29" s="988"/>
      <c r="J29" s="988"/>
      <c r="K29" s="988"/>
      <c r="L29" s="988"/>
      <c r="M29" s="992"/>
      <c r="N29" s="988"/>
      <c r="O29" s="988"/>
      <c r="P29" s="993"/>
      <c r="Q29" s="993"/>
      <c r="R29" s="993"/>
      <c r="S29" s="993"/>
      <c r="T29" s="993"/>
      <c r="U29" s="991"/>
    </row>
    <row r="30" spans="1:21" s="933" customFormat="1" ht="96" x14ac:dyDescent="0.55000000000000004">
      <c r="A30" s="988"/>
      <c r="B30" s="989" t="s">
        <v>780</v>
      </c>
      <c r="C30" s="990">
        <v>21000</v>
      </c>
      <c r="D30" s="991"/>
      <c r="E30" s="991"/>
      <c r="F30" s="1001"/>
      <c r="G30" s="1001"/>
      <c r="H30" s="1001"/>
      <c r="I30" s="988"/>
      <c r="J30" s="988"/>
      <c r="K30" s="988"/>
      <c r="L30" s="988"/>
      <c r="M30" s="992"/>
      <c r="N30" s="988"/>
      <c r="O30" s="988"/>
      <c r="P30" s="993"/>
      <c r="Q30" s="993"/>
      <c r="R30" s="993"/>
      <c r="S30" s="993"/>
      <c r="T30" s="993"/>
      <c r="U30" s="991"/>
    </row>
    <row r="31" spans="1:21" s="933" customFormat="1" ht="96" x14ac:dyDescent="0.55000000000000004">
      <c r="A31" s="988"/>
      <c r="B31" s="989" t="s">
        <v>777</v>
      </c>
      <c r="C31" s="990">
        <v>335200</v>
      </c>
      <c r="D31" s="991"/>
      <c r="E31" s="991"/>
      <c r="F31" s="1001"/>
      <c r="G31" s="1001"/>
      <c r="H31" s="1001"/>
      <c r="I31" s="988"/>
      <c r="J31" s="988"/>
      <c r="K31" s="988"/>
      <c r="L31" s="988"/>
      <c r="M31" s="992"/>
      <c r="N31" s="988"/>
      <c r="O31" s="988"/>
      <c r="P31" s="993"/>
      <c r="Q31" s="993"/>
      <c r="R31" s="993"/>
      <c r="S31" s="993"/>
      <c r="T31" s="993"/>
      <c r="U31" s="991"/>
    </row>
    <row r="32" spans="1:21" ht="18.95" customHeight="1" x14ac:dyDescent="0.3">
      <c r="A32" s="1473" t="s">
        <v>29</v>
      </c>
      <c r="B32" s="1474"/>
      <c r="C32" s="1474"/>
      <c r="D32" s="1475"/>
      <c r="E32" s="124"/>
      <c r="F32" s="1002">
        <f>F20+F17+F13+F11+F9</f>
        <v>2085200</v>
      </c>
      <c r="G32" s="1002"/>
      <c r="H32" s="1002">
        <f>F32</f>
        <v>2085200</v>
      </c>
      <c r="I32" s="149"/>
      <c r="J32" s="149"/>
      <c r="K32" s="149"/>
      <c r="L32" s="149"/>
      <c r="M32" s="153"/>
      <c r="N32" s="149"/>
      <c r="O32" s="149"/>
      <c r="P32" s="138" t="e">
        <f>SUM(P9+#REF!+#REF!)</f>
        <v>#REF!</v>
      </c>
      <c r="Q32" s="138" t="e">
        <f>SUM(Q9+#REF!+#REF!)</f>
        <v>#REF!</v>
      </c>
      <c r="R32" s="138" t="e">
        <f>SUM(R9+#REF!+#REF!)</f>
        <v>#REF!</v>
      </c>
      <c r="S32" s="138" t="e">
        <f>SUM(S9+#REF!+#REF!)</f>
        <v>#REF!</v>
      </c>
      <c r="T32" s="138" t="e">
        <f>SUM(T9+#REF!+#REF!)</f>
        <v>#REF!</v>
      </c>
      <c r="U32" s="126"/>
    </row>
    <row r="33" spans="1:13" ht="22.5" customHeight="1" x14ac:dyDescent="0.3">
      <c r="B33" s="15"/>
      <c r="D33" s="15"/>
      <c r="E33" s="15"/>
    </row>
    <row r="34" spans="1:13" ht="12.75" customHeight="1" x14ac:dyDescent="0.3">
      <c r="B34" s="15"/>
      <c r="D34" s="15"/>
      <c r="E34" s="15"/>
      <c r="F34" s="1003"/>
      <c r="G34" s="1003"/>
      <c r="H34" s="1003"/>
      <c r="I34" s="15"/>
      <c r="J34" s="15"/>
      <c r="K34" s="15"/>
      <c r="L34" s="15"/>
    </row>
    <row r="35" spans="1:13" ht="22.5" hidden="1" customHeight="1" x14ac:dyDescent="0.3">
      <c r="D35" s="1478" t="s">
        <v>206</v>
      </c>
      <c r="E35" s="1478"/>
      <c r="F35" s="1478"/>
      <c r="G35" s="1478"/>
      <c r="H35" s="1478"/>
      <c r="I35" s="1478"/>
      <c r="J35" s="1478"/>
      <c r="K35" s="1478"/>
      <c r="L35" s="1478"/>
      <c r="M35" s="1478"/>
    </row>
    <row r="36" spans="1:13" ht="22.5" hidden="1" customHeight="1" x14ac:dyDescent="0.3">
      <c r="B36" s="15"/>
      <c r="D36" s="1479" t="s">
        <v>199</v>
      </c>
      <c r="E36" s="1469" t="s">
        <v>208</v>
      </c>
      <c r="F36" s="1470"/>
      <c r="G36" s="1469" t="s">
        <v>202</v>
      </c>
      <c r="H36" s="1481"/>
      <c r="I36" s="1470"/>
      <c r="J36" s="1482" t="s">
        <v>203</v>
      </c>
      <c r="K36" s="1482"/>
      <c r="L36" s="1482"/>
      <c r="M36" s="1482"/>
    </row>
    <row r="37" spans="1:13" ht="22.5" hidden="1" customHeight="1" x14ac:dyDescent="0.3">
      <c r="B37" s="15"/>
      <c r="D37" s="1480"/>
      <c r="E37" s="165" t="s">
        <v>200</v>
      </c>
      <c r="F37" s="1004" t="s">
        <v>201</v>
      </c>
      <c r="G37" s="1004" t="s">
        <v>200</v>
      </c>
      <c r="H37" s="1469" t="s">
        <v>201</v>
      </c>
      <c r="I37" s="1470"/>
      <c r="J37" s="1469" t="s">
        <v>200</v>
      </c>
      <c r="K37" s="1470"/>
      <c r="L37" s="1469" t="s">
        <v>201</v>
      </c>
      <c r="M37" s="1470"/>
    </row>
    <row r="38" spans="1:13" ht="22.5" hidden="1" customHeight="1" x14ac:dyDescent="0.3">
      <c r="B38" s="15"/>
      <c r="D38" s="107" t="s">
        <v>205</v>
      </c>
      <c r="E38" s="108"/>
      <c r="F38" s="108"/>
      <c r="G38" s="108"/>
      <c r="H38" s="1471"/>
      <c r="I38" s="1472"/>
      <c r="J38" s="1467"/>
      <c r="K38" s="1468"/>
      <c r="L38" s="1467"/>
      <c r="M38" s="1468"/>
    </row>
    <row r="39" spans="1:13" ht="22.5" hidden="1" customHeight="1" x14ac:dyDescent="0.3">
      <c r="B39" s="15"/>
      <c r="D39" s="107" t="s">
        <v>204</v>
      </c>
      <c r="E39" s="108"/>
      <c r="F39" s="108"/>
      <c r="G39" s="108"/>
      <c r="H39" s="1471"/>
      <c r="I39" s="1472"/>
      <c r="J39" s="1467"/>
      <c r="K39" s="1468"/>
      <c r="L39" s="1467"/>
      <c r="M39" s="1468"/>
    </row>
    <row r="40" spans="1:13" ht="22.5" hidden="1" customHeight="1" x14ac:dyDescent="0.3">
      <c r="B40" s="15"/>
      <c r="D40" s="164" t="s">
        <v>29</v>
      </c>
      <c r="E40" s="108">
        <f>SUM(E38:E39)</f>
        <v>0</v>
      </c>
      <c r="F40" s="108">
        <f t="shared" ref="F40:L40" si="0">SUM(F38:F39)</f>
        <v>0</v>
      </c>
      <c r="G40" s="108">
        <f t="shared" si="0"/>
        <v>0</v>
      </c>
      <c r="H40" s="1467">
        <f>SUM(H38:I39)</f>
        <v>0</v>
      </c>
      <c r="I40" s="1468"/>
      <c r="J40" s="1471">
        <f>SUM(K38:K39)</f>
        <v>0</v>
      </c>
      <c r="K40" s="1472"/>
      <c r="L40" s="1467">
        <f t="shared" si="0"/>
        <v>0</v>
      </c>
      <c r="M40" s="1468"/>
    </row>
    <row r="41" spans="1:13" ht="21.75" hidden="1" customHeight="1" x14ac:dyDescent="0.3">
      <c r="A41" s="110"/>
      <c r="D41" s="16"/>
      <c r="E41" s="16"/>
    </row>
    <row r="42" spans="1:13" ht="22.5" customHeight="1" x14ac:dyDescent="0.3">
      <c r="A42" s="110"/>
    </row>
    <row r="43" spans="1:13" s="179" customFormat="1" ht="29.25" customHeight="1" x14ac:dyDescent="0.3">
      <c r="A43" s="177"/>
      <c r="B43" s="178" t="s">
        <v>224</v>
      </c>
      <c r="F43" s="1005"/>
      <c r="G43" s="1005"/>
      <c r="H43" s="1005"/>
    </row>
    <row r="44" spans="1:13" s="179" customFormat="1" ht="27.75" customHeight="1" x14ac:dyDescent="0.3">
      <c r="A44" s="177"/>
      <c r="B44" s="180" t="s">
        <v>239</v>
      </c>
      <c r="F44" s="1005"/>
      <c r="G44" s="1005"/>
      <c r="H44" s="1005"/>
    </row>
    <row r="45" spans="1:13" ht="26.25" x14ac:dyDescent="0.3">
      <c r="A45" s="110"/>
      <c r="B45" s="166"/>
      <c r="J45" s="166"/>
    </row>
    <row r="46" spans="1:13" x14ac:dyDescent="0.3">
      <c r="A46" s="110"/>
      <c r="B46" s="16"/>
      <c r="D46" s="92"/>
      <c r="E46" s="92"/>
    </row>
    <row r="47" spans="1:13" x14ac:dyDescent="0.3">
      <c r="A47" s="110"/>
      <c r="B47" s="16"/>
      <c r="D47" s="92"/>
      <c r="E47" s="92"/>
    </row>
    <row r="48" spans="1:13" x14ac:dyDescent="0.3">
      <c r="A48" s="110"/>
      <c r="B48" s="93"/>
      <c r="I48" s="110"/>
      <c r="J48" s="94"/>
    </row>
    <row r="49" spans="1:13" x14ac:dyDescent="0.3">
      <c r="A49" s="110"/>
      <c r="B49" s="100"/>
      <c r="I49" s="111"/>
      <c r="J49" s="94"/>
    </row>
    <row r="50" spans="1:13" x14ac:dyDescent="0.3">
      <c r="A50" s="18"/>
      <c r="B50" s="16"/>
      <c r="D50" s="14"/>
      <c r="E50" s="14"/>
      <c r="I50" s="110"/>
      <c r="J50" s="1448"/>
      <c r="K50" s="1448"/>
      <c r="L50" s="1448"/>
      <c r="M50" s="1448"/>
    </row>
    <row r="51" spans="1:13" x14ac:dyDescent="0.3">
      <c r="A51" s="18"/>
      <c r="B51" s="16"/>
      <c r="D51" s="14"/>
      <c r="E51" s="14"/>
      <c r="I51" s="17"/>
      <c r="J51" s="14"/>
    </row>
    <row r="52" spans="1:13" x14ac:dyDescent="0.3">
      <c r="A52" s="18"/>
      <c r="B52" s="16"/>
    </row>
    <row r="53" spans="1:13" x14ac:dyDescent="0.3">
      <c r="A53" s="18"/>
      <c r="B53" s="16"/>
    </row>
    <row r="54" spans="1:13" x14ac:dyDescent="0.3">
      <c r="A54" s="18"/>
      <c r="B54" s="16"/>
      <c r="D54" s="14"/>
      <c r="E54" s="14"/>
    </row>
    <row r="55" spans="1:13" x14ac:dyDescent="0.3">
      <c r="A55" s="18"/>
      <c r="B55" s="93"/>
    </row>
    <row r="56" spans="1:13" x14ac:dyDescent="0.3">
      <c r="A56" s="18"/>
      <c r="B56" s="100"/>
    </row>
    <row r="57" spans="1:13" ht="18.75" customHeight="1" x14ac:dyDescent="0.3">
      <c r="A57" s="18"/>
      <c r="B57" s="16"/>
    </row>
    <row r="58" spans="1:13" x14ac:dyDescent="0.3">
      <c r="A58" s="18"/>
      <c r="B58" s="16"/>
    </row>
    <row r="59" spans="1:13" x14ac:dyDescent="0.3">
      <c r="A59" s="18"/>
      <c r="B59" s="16"/>
    </row>
    <row r="60" spans="1:13" x14ac:dyDescent="0.3">
      <c r="A60" s="18"/>
      <c r="B60" s="16"/>
    </row>
    <row r="61" spans="1:13" x14ac:dyDescent="0.3">
      <c r="A61" s="18"/>
      <c r="B61" s="16"/>
    </row>
    <row r="62" spans="1:13" x14ac:dyDescent="0.3">
      <c r="A62" s="18"/>
      <c r="B62" s="16"/>
    </row>
    <row r="63" spans="1:13" x14ac:dyDescent="0.3">
      <c r="A63" s="18"/>
      <c r="B63" s="16"/>
    </row>
    <row r="64" spans="1:13" x14ac:dyDescent="0.3">
      <c r="A64" s="18"/>
      <c r="B64" s="16"/>
    </row>
    <row r="65" spans="1:2" x14ac:dyDescent="0.3">
      <c r="A65" s="18"/>
      <c r="B65" s="16"/>
    </row>
    <row r="67" spans="1:2" x14ac:dyDescent="0.3">
      <c r="A67" s="14"/>
      <c r="B67" s="96"/>
    </row>
    <row r="68" spans="1:2" x14ac:dyDescent="0.3">
      <c r="A68" s="14"/>
      <c r="B68" s="96"/>
    </row>
  </sheetData>
  <mergeCells count="64">
    <mergeCell ref="S14:S16"/>
    <mergeCell ref="T14:T16"/>
    <mergeCell ref="U21:U22"/>
    <mergeCell ref="N14:N16"/>
    <mergeCell ref="O14:O16"/>
    <mergeCell ref="P14:P16"/>
    <mergeCell ref="Q14:Q16"/>
    <mergeCell ref="R14:R16"/>
    <mergeCell ref="I14:I16"/>
    <mergeCell ref="J14:J16"/>
    <mergeCell ref="K14:K16"/>
    <mergeCell ref="L14:L16"/>
    <mergeCell ref="M14:M16"/>
    <mergeCell ref="D14:D16"/>
    <mergeCell ref="E14:E16"/>
    <mergeCell ref="F14:F16"/>
    <mergeCell ref="G14:G16"/>
    <mergeCell ref="H14:H16"/>
    <mergeCell ref="A1:U1"/>
    <mergeCell ref="A2:U2"/>
    <mergeCell ref="A3:U3"/>
    <mergeCell ref="A5:A8"/>
    <mergeCell ref="B6:B8"/>
    <mergeCell ref="C6:C8"/>
    <mergeCell ref="D6:D8"/>
    <mergeCell ref="E6:E8"/>
    <mergeCell ref="I6:L6"/>
    <mergeCell ref="M6:O6"/>
    <mergeCell ref="P6:T6"/>
    <mergeCell ref="U6:U8"/>
    <mergeCell ref="P7:P8"/>
    <mergeCell ref="R7:R8"/>
    <mergeCell ref="S7:S8"/>
    <mergeCell ref="T7:T8"/>
    <mergeCell ref="D5:U5"/>
    <mergeCell ref="B5:C5"/>
    <mergeCell ref="I7:J7"/>
    <mergeCell ref="K7:L7"/>
    <mergeCell ref="M7:M8"/>
    <mergeCell ref="N7:N8"/>
    <mergeCell ref="Q7:Q8"/>
    <mergeCell ref="J50:M50"/>
    <mergeCell ref="A32:D32"/>
    <mergeCell ref="O7:O8"/>
    <mergeCell ref="F6:F8"/>
    <mergeCell ref="G6:G8"/>
    <mergeCell ref="H6:H8"/>
    <mergeCell ref="H40:I40"/>
    <mergeCell ref="J40:K40"/>
    <mergeCell ref="L40:M40"/>
    <mergeCell ref="D35:M35"/>
    <mergeCell ref="D36:D37"/>
    <mergeCell ref="E36:F36"/>
    <mergeCell ref="G36:I36"/>
    <mergeCell ref="J36:M36"/>
    <mergeCell ref="H37:I37"/>
    <mergeCell ref="H39:I39"/>
    <mergeCell ref="J39:K39"/>
    <mergeCell ref="J37:K37"/>
    <mergeCell ref="L37:M37"/>
    <mergeCell ref="H38:I38"/>
    <mergeCell ref="J38:K38"/>
    <mergeCell ref="L38:M38"/>
    <mergeCell ref="L39:M39"/>
  </mergeCells>
  <printOptions horizontalCentered="1"/>
  <pageMargins left="0.196850393700787" right="0" top="0.59055118110236204" bottom="0.196850393700787" header="0.31496062992126" footer="0.31496062992126"/>
  <pageSetup paperSize="9" scale="48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72"/>
  <sheetViews>
    <sheetView zoomScale="70" zoomScaleNormal="70" zoomScaleSheetLayoutView="70" workbookViewId="0">
      <pane ySplit="8" topLeftCell="A9" activePane="bottomLeft" state="frozen"/>
      <selection pane="bottomLeft" activeCell="U10" sqref="U10"/>
    </sheetView>
  </sheetViews>
  <sheetFormatPr defaultColWidth="9" defaultRowHeight="18.75" x14ac:dyDescent="0.3"/>
  <cols>
    <col min="1" max="1" width="5.625" style="11" customWidth="1"/>
    <col min="2" max="2" width="25.625" style="91" customWidth="1"/>
    <col min="3" max="3" width="11.625" style="11" customWidth="1"/>
    <col min="4" max="4" width="22" style="11" customWidth="1"/>
    <col min="5" max="5" width="12.625" style="11" customWidth="1"/>
    <col min="6" max="7" width="11.625" style="11" customWidth="1"/>
    <col min="8" max="8" width="12.125" style="11" customWidth="1"/>
    <col min="9" max="12" width="8.625" style="11" customWidth="1"/>
    <col min="13" max="13" width="12.375" style="11" customWidth="1"/>
    <col min="14" max="14" width="11.375" style="11" customWidth="1"/>
    <col min="15" max="15" width="14.375" style="11" customWidth="1"/>
    <col min="16" max="20" width="11.625" style="11" customWidth="1"/>
    <col min="21" max="21" width="33.625" style="11" customWidth="1"/>
    <col min="22" max="16384" width="9" style="11"/>
  </cols>
  <sheetData>
    <row r="1" spans="1:21" ht="23.25" x14ac:dyDescent="0.3">
      <c r="A1" s="1455" t="s">
        <v>235</v>
      </c>
      <c r="B1" s="1455"/>
      <c r="C1" s="1455"/>
      <c r="D1" s="1455"/>
      <c r="E1" s="1455"/>
      <c r="F1" s="1455"/>
      <c r="G1" s="1455"/>
      <c r="H1" s="1455"/>
      <c r="I1" s="1455"/>
      <c r="J1" s="1455"/>
      <c r="K1" s="1455"/>
      <c r="L1" s="1455"/>
      <c r="M1" s="1455"/>
      <c r="N1" s="1455"/>
      <c r="O1" s="1455"/>
      <c r="P1" s="1455"/>
      <c r="Q1" s="1455"/>
      <c r="R1" s="1455"/>
      <c r="S1" s="1455"/>
      <c r="T1" s="1455"/>
      <c r="U1" s="1455"/>
    </row>
    <row r="2" spans="1:21" ht="23.25" x14ac:dyDescent="0.3">
      <c r="A2" s="1489" t="s">
        <v>245</v>
      </c>
      <c r="B2" s="1489"/>
      <c r="C2" s="1489"/>
      <c r="D2" s="1489"/>
      <c r="E2" s="1489"/>
      <c r="F2" s="1489"/>
      <c r="G2" s="1489"/>
      <c r="H2" s="1489"/>
      <c r="I2" s="1489"/>
      <c r="J2" s="1489"/>
      <c r="K2" s="1489"/>
      <c r="L2" s="1489"/>
      <c r="M2" s="1489"/>
      <c r="N2" s="1489"/>
      <c r="O2" s="1489"/>
      <c r="P2" s="1489"/>
      <c r="Q2" s="1489"/>
      <c r="R2" s="1489"/>
      <c r="S2" s="1489"/>
      <c r="T2" s="1489"/>
      <c r="U2" s="1489"/>
    </row>
    <row r="3" spans="1:21" ht="27" customHeight="1" x14ac:dyDescent="0.3">
      <c r="A3" s="1455" t="s">
        <v>176</v>
      </c>
      <c r="B3" s="1455"/>
      <c r="C3" s="1455"/>
      <c r="D3" s="1455"/>
      <c r="E3" s="1455"/>
      <c r="F3" s="1455"/>
      <c r="G3" s="1455"/>
      <c r="H3" s="1455"/>
      <c r="I3" s="1455"/>
      <c r="J3" s="1455"/>
      <c r="K3" s="1455"/>
      <c r="L3" s="1455"/>
      <c r="M3" s="1455"/>
      <c r="N3" s="1455"/>
      <c r="O3" s="1455"/>
      <c r="P3" s="1455"/>
      <c r="Q3" s="1455"/>
      <c r="R3" s="1455"/>
      <c r="S3" s="1455"/>
      <c r="T3" s="1455"/>
      <c r="U3" s="1455"/>
    </row>
    <row r="4" spans="1:21" ht="26.25" customHeight="1" x14ac:dyDescent="0.3">
      <c r="A4" s="23"/>
      <c r="B4" s="70"/>
      <c r="C4" s="23"/>
      <c r="D4" s="23"/>
      <c r="E4" s="23"/>
      <c r="F4" s="23"/>
      <c r="G4" s="23"/>
      <c r="O4" s="134"/>
      <c r="U4" s="163" t="s">
        <v>237</v>
      </c>
    </row>
    <row r="5" spans="1:21" x14ac:dyDescent="0.3">
      <c r="A5" s="1490" t="s">
        <v>0</v>
      </c>
      <c r="B5" s="1484" t="s">
        <v>184</v>
      </c>
      <c r="C5" s="1484"/>
      <c r="D5" s="1483" t="s">
        <v>246</v>
      </c>
      <c r="E5" s="1483"/>
      <c r="F5" s="1483"/>
      <c r="G5" s="1483"/>
      <c r="H5" s="1483"/>
      <c r="I5" s="1483"/>
      <c r="J5" s="1483"/>
      <c r="K5" s="1483"/>
      <c r="L5" s="1483"/>
      <c r="M5" s="1483"/>
      <c r="N5" s="1483"/>
      <c r="O5" s="1483"/>
      <c r="P5" s="1483"/>
      <c r="Q5" s="1483"/>
      <c r="R5" s="1483"/>
      <c r="S5" s="1483"/>
      <c r="T5" s="1483"/>
      <c r="U5" s="1483"/>
    </row>
    <row r="6" spans="1:21" ht="18.75" customHeight="1" x14ac:dyDescent="0.3">
      <c r="A6" s="1490"/>
      <c r="B6" s="1506" t="s">
        <v>247</v>
      </c>
      <c r="C6" s="1506" t="s">
        <v>201</v>
      </c>
      <c r="D6" s="1460" t="s">
        <v>178</v>
      </c>
      <c r="E6" s="1460" t="s">
        <v>192</v>
      </c>
      <c r="F6" s="1461" t="s">
        <v>179</v>
      </c>
      <c r="G6" s="1461" t="s">
        <v>180</v>
      </c>
      <c r="H6" s="1461" t="s">
        <v>181</v>
      </c>
      <c r="I6" s="1457" t="s">
        <v>182</v>
      </c>
      <c r="J6" s="1457"/>
      <c r="K6" s="1457"/>
      <c r="L6" s="1457"/>
      <c r="M6" s="1464" t="s">
        <v>218</v>
      </c>
      <c r="N6" s="1464"/>
      <c r="O6" s="1464"/>
      <c r="P6" s="1465" t="s">
        <v>227</v>
      </c>
      <c r="Q6" s="1465"/>
      <c r="R6" s="1465"/>
      <c r="S6" s="1465"/>
      <c r="T6" s="1465"/>
      <c r="U6" s="1507" t="s">
        <v>240</v>
      </c>
    </row>
    <row r="7" spans="1:21" ht="71.25" customHeight="1" x14ac:dyDescent="0.3">
      <c r="A7" s="1490"/>
      <c r="B7" s="1506"/>
      <c r="C7" s="1506"/>
      <c r="D7" s="1460"/>
      <c r="E7" s="1460"/>
      <c r="F7" s="1461"/>
      <c r="G7" s="1461"/>
      <c r="H7" s="1461"/>
      <c r="I7" s="1462" t="s">
        <v>220</v>
      </c>
      <c r="J7" s="1462"/>
      <c r="K7" s="1463" t="s">
        <v>221</v>
      </c>
      <c r="L7" s="1463"/>
      <c r="M7" s="1438" t="s">
        <v>183</v>
      </c>
      <c r="N7" s="1438" t="s">
        <v>222</v>
      </c>
      <c r="O7" s="1438" t="s">
        <v>231</v>
      </c>
      <c r="P7" s="1445" t="s">
        <v>228</v>
      </c>
      <c r="Q7" s="1446" t="s">
        <v>241</v>
      </c>
      <c r="R7" s="1445" t="s">
        <v>242</v>
      </c>
      <c r="S7" s="1445" t="s">
        <v>243</v>
      </c>
      <c r="T7" s="1445" t="s">
        <v>244</v>
      </c>
      <c r="U7" s="1508"/>
    </row>
    <row r="8" spans="1:21" ht="25.5" customHeight="1" x14ac:dyDescent="0.3">
      <c r="A8" s="1490"/>
      <c r="B8" s="1506"/>
      <c r="C8" s="1506"/>
      <c r="D8" s="1460"/>
      <c r="E8" s="1460"/>
      <c r="F8" s="1461"/>
      <c r="G8" s="1461"/>
      <c r="H8" s="1461"/>
      <c r="I8" s="95" t="s">
        <v>215</v>
      </c>
      <c r="J8" s="95" t="s">
        <v>216</v>
      </c>
      <c r="K8" s="95" t="s">
        <v>217</v>
      </c>
      <c r="L8" s="95" t="s">
        <v>216</v>
      </c>
      <c r="M8" s="1438"/>
      <c r="N8" s="1438"/>
      <c r="O8" s="1438"/>
      <c r="P8" s="1445"/>
      <c r="Q8" s="1447"/>
      <c r="R8" s="1445"/>
      <c r="S8" s="1445"/>
      <c r="T8" s="1445"/>
      <c r="U8" s="1509"/>
    </row>
    <row r="9" spans="1:21" ht="18.95" customHeight="1" x14ac:dyDescent="0.3">
      <c r="A9" s="4">
        <v>1</v>
      </c>
      <c r="B9" s="71" t="s">
        <v>29</v>
      </c>
      <c r="C9" s="72">
        <f>SUM(C10:C12)</f>
        <v>10000000</v>
      </c>
      <c r="D9" s="5" t="s">
        <v>209</v>
      </c>
      <c r="E9" s="5"/>
      <c r="F9" s="117">
        <f>SUM(F10)</f>
        <v>3000000</v>
      </c>
      <c r="G9" s="117">
        <f>SUM(G10)</f>
        <v>7000000</v>
      </c>
      <c r="H9" s="117">
        <f>SUM(H10:H11)</f>
        <v>10000000</v>
      </c>
      <c r="I9" s="147"/>
      <c r="J9" s="147"/>
      <c r="K9" s="147"/>
      <c r="L9" s="147"/>
      <c r="M9" s="150"/>
      <c r="N9" s="147"/>
      <c r="O9" s="147"/>
      <c r="P9" s="155">
        <f>SUM(P10:P12)</f>
        <v>6950000</v>
      </c>
      <c r="Q9" s="155">
        <f>SUM(Q10:Q12)</f>
        <v>50000</v>
      </c>
      <c r="R9" s="155">
        <f>SUM(R10:R12)</f>
        <v>3000000</v>
      </c>
      <c r="S9" s="155">
        <f>SUM(S10:S12)</f>
        <v>9000000</v>
      </c>
      <c r="T9" s="155">
        <f>SUM(T10:T12)</f>
        <v>1000000</v>
      </c>
      <c r="U9" s="137"/>
    </row>
    <row r="10" spans="1:21" s="133" customFormat="1" ht="37.5" customHeight="1" x14ac:dyDescent="0.3">
      <c r="A10" s="73"/>
      <c r="B10" s="76" t="s">
        <v>186</v>
      </c>
      <c r="C10" s="75">
        <v>1000000</v>
      </c>
      <c r="D10" s="74" t="s">
        <v>13</v>
      </c>
      <c r="E10" s="74" t="s">
        <v>211</v>
      </c>
      <c r="F10" s="118">
        <v>3000000</v>
      </c>
      <c r="G10" s="118">
        <v>7000000</v>
      </c>
      <c r="H10" s="118">
        <f>SUM(F10:G10)</f>
        <v>10000000</v>
      </c>
      <c r="I10" s="77">
        <v>5</v>
      </c>
      <c r="J10" s="77">
        <v>8</v>
      </c>
      <c r="K10" s="77">
        <v>6</v>
      </c>
      <c r="L10" s="77">
        <v>12</v>
      </c>
      <c r="M10" s="151">
        <v>2</v>
      </c>
      <c r="N10" s="77">
        <v>13</v>
      </c>
      <c r="O10" s="77" t="s">
        <v>185</v>
      </c>
      <c r="P10" s="154">
        <v>6950000</v>
      </c>
      <c r="Q10" s="154">
        <v>50000</v>
      </c>
      <c r="R10" s="154">
        <v>3000000</v>
      </c>
      <c r="S10" s="154">
        <v>9000000</v>
      </c>
      <c r="T10" s="154">
        <v>1000000</v>
      </c>
      <c r="U10" s="127" t="s">
        <v>232</v>
      </c>
    </row>
    <row r="11" spans="1:21" ht="18.95" customHeight="1" x14ac:dyDescent="0.3">
      <c r="A11" s="77"/>
      <c r="B11" s="81" t="s">
        <v>187</v>
      </c>
      <c r="C11" s="80">
        <v>5000000</v>
      </c>
      <c r="D11" s="78"/>
      <c r="E11" s="78"/>
      <c r="F11" s="79"/>
      <c r="G11" s="79"/>
      <c r="H11" s="79"/>
      <c r="I11" s="77"/>
      <c r="J11" s="77"/>
      <c r="K11" s="77"/>
      <c r="L11" s="77"/>
      <c r="M11" s="151"/>
      <c r="N11" s="77"/>
      <c r="O11" s="77"/>
      <c r="P11" s="156"/>
      <c r="Q11" s="156"/>
      <c r="R11" s="156"/>
      <c r="S11" s="156"/>
      <c r="T11" s="156"/>
      <c r="U11" s="175" t="s">
        <v>238</v>
      </c>
    </row>
    <row r="12" spans="1:21" ht="18.95" customHeight="1" x14ac:dyDescent="0.3">
      <c r="A12" s="82"/>
      <c r="B12" s="86" t="s">
        <v>188</v>
      </c>
      <c r="C12" s="85">
        <v>4000000</v>
      </c>
      <c r="D12" s="83"/>
      <c r="E12" s="83"/>
      <c r="F12" s="84"/>
      <c r="G12" s="84"/>
      <c r="H12" s="84"/>
      <c r="I12" s="77"/>
      <c r="J12" s="77"/>
      <c r="K12" s="77"/>
      <c r="L12" s="77"/>
      <c r="M12" s="151"/>
      <c r="N12" s="77"/>
      <c r="O12" s="77"/>
      <c r="P12" s="156"/>
      <c r="Q12" s="156"/>
      <c r="R12" s="156"/>
      <c r="S12" s="156"/>
      <c r="T12" s="156"/>
      <c r="U12" s="122"/>
    </row>
    <row r="13" spans="1:21" ht="18.95" customHeight="1" x14ac:dyDescent="0.3">
      <c r="A13" s="6">
        <v>2</v>
      </c>
      <c r="B13" s="88" t="s">
        <v>29</v>
      </c>
      <c r="C13" s="87">
        <f>SUM(C14)</f>
        <v>2500000</v>
      </c>
      <c r="D13" s="7" t="s">
        <v>210</v>
      </c>
      <c r="E13" s="7"/>
      <c r="F13" s="119">
        <f>SUM(F14)</f>
        <v>0</v>
      </c>
      <c r="G13" s="119">
        <f>SUM(G14)</f>
        <v>2500000</v>
      </c>
      <c r="H13" s="119">
        <f>SUM(H14)</f>
        <v>2500000</v>
      </c>
      <c r="I13" s="148"/>
      <c r="J13" s="148"/>
      <c r="K13" s="148"/>
      <c r="L13" s="148"/>
      <c r="M13" s="152"/>
      <c r="N13" s="148"/>
      <c r="O13" s="148"/>
      <c r="P13" s="157">
        <f>SUM(P14)</f>
        <v>0</v>
      </c>
      <c r="Q13" s="157">
        <f>SUM(Q14)</f>
        <v>0</v>
      </c>
      <c r="R13" s="157">
        <f>SUM(R14)</f>
        <v>0</v>
      </c>
      <c r="S13" s="157">
        <f>SUM(S14)</f>
        <v>500000</v>
      </c>
      <c r="T13" s="157">
        <f>SUM(T14)</f>
        <v>2000000</v>
      </c>
      <c r="U13" s="123"/>
    </row>
    <row r="14" spans="1:21" ht="18.95" customHeight="1" x14ac:dyDescent="0.3">
      <c r="A14" s="1"/>
      <c r="B14" s="90" t="s">
        <v>189</v>
      </c>
      <c r="C14" s="89">
        <v>2500000</v>
      </c>
      <c r="D14" s="2" t="s">
        <v>19</v>
      </c>
      <c r="E14" s="2" t="s">
        <v>212</v>
      </c>
      <c r="F14" s="120">
        <v>0</v>
      </c>
      <c r="G14" s="120">
        <v>2500000</v>
      </c>
      <c r="H14" s="120">
        <f>SUM(F14:G14)</f>
        <v>2500000</v>
      </c>
      <c r="I14" s="77"/>
      <c r="J14" s="77"/>
      <c r="K14" s="77">
        <v>7</v>
      </c>
      <c r="L14" s="77">
        <v>13</v>
      </c>
      <c r="M14" s="151"/>
      <c r="N14" s="77">
        <v>7</v>
      </c>
      <c r="O14" s="77" t="s">
        <v>185</v>
      </c>
      <c r="P14" s="156">
        <v>0</v>
      </c>
      <c r="Q14" s="156"/>
      <c r="R14" s="156">
        <v>0</v>
      </c>
      <c r="S14" s="156">
        <v>500000</v>
      </c>
      <c r="T14" s="156">
        <v>2000000</v>
      </c>
      <c r="U14" s="122" t="s">
        <v>233</v>
      </c>
    </row>
    <row r="15" spans="1:21" ht="18.95" customHeight="1" x14ac:dyDescent="0.3">
      <c r="A15" s="6">
        <v>3</v>
      </c>
      <c r="B15" s="88" t="s">
        <v>29</v>
      </c>
      <c r="C15" s="87">
        <f>SUM(C16:C17)</f>
        <v>900000</v>
      </c>
      <c r="D15" s="7" t="s">
        <v>210</v>
      </c>
      <c r="E15" s="7"/>
      <c r="F15" s="119">
        <f>SUM(F16:F17)</f>
        <v>550000</v>
      </c>
      <c r="G15" s="119">
        <f>SUM(G16:G17)</f>
        <v>350000</v>
      </c>
      <c r="H15" s="119">
        <f>SUM(F15:G15)</f>
        <v>900000</v>
      </c>
      <c r="I15" s="148"/>
      <c r="J15" s="148"/>
      <c r="K15" s="148"/>
      <c r="L15" s="148"/>
      <c r="M15" s="152"/>
      <c r="N15" s="148"/>
      <c r="O15" s="148"/>
      <c r="P15" s="157">
        <f>SUM(P16:P17)</f>
        <v>350000</v>
      </c>
      <c r="Q15" s="157">
        <f>SUM(Q16:Q17)</f>
        <v>0</v>
      </c>
      <c r="R15" s="157">
        <f>SUM(R16:R17)</f>
        <v>550000</v>
      </c>
      <c r="S15" s="157">
        <f>SUM(S16:S17)</f>
        <v>900000</v>
      </c>
      <c r="T15" s="157">
        <f>SUM(T16:T17)</f>
        <v>0</v>
      </c>
      <c r="U15" s="123"/>
    </row>
    <row r="16" spans="1:21" ht="18.95" customHeight="1" x14ac:dyDescent="0.3">
      <c r="A16" s="73"/>
      <c r="B16" s="76" t="s">
        <v>190</v>
      </c>
      <c r="C16" s="75">
        <v>450000</v>
      </c>
      <c r="D16" s="74" t="s">
        <v>22</v>
      </c>
      <c r="E16" s="74" t="s">
        <v>213</v>
      </c>
      <c r="F16" s="118">
        <v>500000</v>
      </c>
      <c r="G16" s="118">
        <v>0</v>
      </c>
      <c r="H16" s="118">
        <f>SUM(F16:G16)</f>
        <v>500000</v>
      </c>
      <c r="I16" s="77">
        <v>5</v>
      </c>
      <c r="J16" s="77">
        <v>5</v>
      </c>
      <c r="K16" s="77"/>
      <c r="L16" s="77"/>
      <c r="M16" s="151">
        <v>14</v>
      </c>
      <c r="N16" s="77"/>
      <c r="O16" s="77" t="s">
        <v>185</v>
      </c>
      <c r="P16" s="156">
        <v>0</v>
      </c>
      <c r="Q16" s="156"/>
      <c r="R16" s="156">
        <v>500000</v>
      </c>
      <c r="S16" s="156">
        <v>500000</v>
      </c>
      <c r="T16" s="156">
        <v>0</v>
      </c>
      <c r="U16" s="122" t="s">
        <v>233</v>
      </c>
    </row>
    <row r="17" spans="1:21" s="133" customFormat="1" ht="57" customHeight="1" x14ac:dyDescent="0.3">
      <c r="A17" s="82"/>
      <c r="B17" s="86" t="s">
        <v>191</v>
      </c>
      <c r="C17" s="85">
        <v>450000</v>
      </c>
      <c r="D17" s="83" t="s">
        <v>23</v>
      </c>
      <c r="E17" s="83" t="s">
        <v>214</v>
      </c>
      <c r="F17" s="121">
        <v>50000</v>
      </c>
      <c r="G17" s="121">
        <v>350000</v>
      </c>
      <c r="H17" s="121">
        <f>SUM(F17:G17)</f>
        <v>400000</v>
      </c>
      <c r="I17" s="77">
        <v>5</v>
      </c>
      <c r="J17" s="77">
        <v>5</v>
      </c>
      <c r="K17" s="77">
        <v>6</v>
      </c>
      <c r="L17" s="77">
        <v>8</v>
      </c>
      <c r="M17" s="151">
        <v>14</v>
      </c>
      <c r="N17" s="77">
        <v>13</v>
      </c>
      <c r="O17" s="77" t="s">
        <v>185</v>
      </c>
      <c r="P17" s="154">
        <v>350000</v>
      </c>
      <c r="Q17" s="154"/>
      <c r="R17" s="154">
        <v>50000</v>
      </c>
      <c r="S17" s="154">
        <v>400000</v>
      </c>
      <c r="T17" s="154">
        <v>0</v>
      </c>
      <c r="U17" s="127" t="s">
        <v>234</v>
      </c>
    </row>
    <row r="18" spans="1:21" ht="18.95" customHeight="1" x14ac:dyDescent="0.3">
      <c r="A18" s="1473" t="s">
        <v>29</v>
      </c>
      <c r="B18" s="1474"/>
      <c r="C18" s="1474"/>
      <c r="D18" s="1475"/>
      <c r="E18" s="124"/>
      <c r="F18" s="125">
        <f>SUM(F9+F13+F15)</f>
        <v>3550000</v>
      </c>
      <c r="G18" s="125">
        <f>SUM(G9+G13+G15)</f>
        <v>9850000</v>
      </c>
      <c r="H18" s="125">
        <f>SUM(H9+H13+H15)</f>
        <v>13400000</v>
      </c>
      <c r="I18" s="149"/>
      <c r="J18" s="149"/>
      <c r="K18" s="149"/>
      <c r="L18" s="149"/>
      <c r="M18" s="153"/>
      <c r="N18" s="149"/>
      <c r="O18" s="149"/>
      <c r="P18" s="158">
        <f>SUM(P9+P13+P15)</f>
        <v>7300000</v>
      </c>
      <c r="Q18" s="158">
        <f>SUM(Q9+Q13+Q15)</f>
        <v>50000</v>
      </c>
      <c r="R18" s="158">
        <f>SUM(R9+R13+R15)</f>
        <v>3550000</v>
      </c>
      <c r="S18" s="158">
        <f>SUM(S9+S13+S15)</f>
        <v>10400000</v>
      </c>
      <c r="T18" s="158">
        <f>SUM(T9+T13+T15)</f>
        <v>3000000</v>
      </c>
      <c r="U18" s="126"/>
    </row>
    <row r="19" spans="1:21" ht="22.5" customHeight="1" x14ac:dyDescent="0.3">
      <c r="B19" s="15"/>
      <c r="D19" s="15"/>
      <c r="E19" s="15"/>
    </row>
    <row r="20" spans="1:21" ht="12" customHeight="1" x14ac:dyDescent="0.3">
      <c r="B20" s="15"/>
      <c r="D20" s="15"/>
      <c r="E20" s="15"/>
      <c r="F20" s="15"/>
      <c r="G20" s="15"/>
      <c r="H20" s="15"/>
      <c r="I20" s="15"/>
      <c r="J20" s="15"/>
      <c r="K20" s="15"/>
      <c r="L20" s="15"/>
    </row>
    <row r="21" spans="1:21" ht="22.5" customHeight="1" x14ac:dyDescent="0.3">
      <c r="B21" s="166"/>
      <c r="D21" s="1454" t="s">
        <v>206</v>
      </c>
      <c r="E21" s="1454"/>
      <c r="F21" s="1454"/>
      <c r="G21" s="1454"/>
      <c r="H21" s="1454"/>
      <c r="I21" s="1454"/>
      <c r="J21" s="1454"/>
      <c r="K21" s="1454"/>
      <c r="L21" s="1454"/>
      <c r="M21" s="1454"/>
    </row>
    <row r="22" spans="1:21" ht="22.5" customHeight="1" x14ac:dyDescent="0.3">
      <c r="B22" s="15"/>
      <c r="D22" s="1450" t="s">
        <v>199</v>
      </c>
      <c r="E22" s="1441" t="s">
        <v>208</v>
      </c>
      <c r="F22" s="1442"/>
      <c r="G22" s="1441" t="s">
        <v>202</v>
      </c>
      <c r="H22" s="1452"/>
      <c r="I22" s="1442"/>
      <c r="J22" s="1453" t="s">
        <v>203</v>
      </c>
      <c r="K22" s="1453"/>
      <c r="L22" s="1453"/>
      <c r="M22" s="1453"/>
    </row>
    <row r="23" spans="1:21" ht="22.5" customHeight="1" x14ac:dyDescent="0.3">
      <c r="B23" s="15"/>
      <c r="D23" s="1451"/>
      <c r="E23" s="168" t="s">
        <v>200</v>
      </c>
      <c r="F23" s="168" t="s">
        <v>201</v>
      </c>
      <c r="G23" s="168" t="s">
        <v>200</v>
      </c>
      <c r="H23" s="1441" t="s">
        <v>201</v>
      </c>
      <c r="I23" s="1442"/>
      <c r="J23" s="1441" t="s">
        <v>200</v>
      </c>
      <c r="K23" s="1442"/>
      <c r="L23" s="1441" t="s">
        <v>201</v>
      </c>
      <c r="M23" s="1442"/>
    </row>
    <row r="24" spans="1:21" ht="22.5" customHeight="1" x14ac:dyDescent="0.3">
      <c r="B24" s="15"/>
      <c r="D24" s="169" t="s">
        <v>205</v>
      </c>
      <c r="E24" s="170">
        <v>3</v>
      </c>
      <c r="F24" s="171">
        <v>3550000</v>
      </c>
      <c r="G24" s="170">
        <v>0</v>
      </c>
      <c r="H24" s="1443">
        <v>0</v>
      </c>
      <c r="I24" s="1444"/>
      <c r="J24" s="1439">
        <v>0</v>
      </c>
      <c r="K24" s="1440"/>
      <c r="L24" s="1443">
        <v>0</v>
      </c>
      <c r="M24" s="1444"/>
    </row>
    <row r="25" spans="1:21" ht="22.5" customHeight="1" x14ac:dyDescent="0.3">
      <c r="B25" s="15"/>
      <c r="D25" s="169" t="s">
        <v>204</v>
      </c>
      <c r="E25" s="170">
        <v>3</v>
      </c>
      <c r="F25" s="171">
        <v>9850000</v>
      </c>
      <c r="G25" s="170">
        <v>0</v>
      </c>
      <c r="H25" s="1443">
        <v>0</v>
      </c>
      <c r="I25" s="1444"/>
      <c r="J25" s="1439">
        <v>0</v>
      </c>
      <c r="K25" s="1440"/>
      <c r="L25" s="1443">
        <v>0</v>
      </c>
      <c r="M25" s="1444"/>
    </row>
    <row r="26" spans="1:21" ht="22.5" customHeight="1" x14ac:dyDescent="0.3">
      <c r="B26" s="15"/>
      <c r="D26" s="172" t="s">
        <v>29</v>
      </c>
      <c r="E26" s="170">
        <f>SUM(E24:E25)</f>
        <v>6</v>
      </c>
      <c r="F26" s="171">
        <f t="shared" ref="F26:L26" si="0">SUM(F24:F25)</f>
        <v>13400000</v>
      </c>
      <c r="G26" s="170">
        <f t="shared" si="0"/>
        <v>0</v>
      </c>
      <c r="H26" s="1443">
        <f>SUM(H24:I25)</f>
        <v>0</v>
      </c>
      <c r="I26" s="1444"/>
      <c r="J26" s="1439">
        <f>SUM(K24:K25)</f>
        <v>0</v>
      </c>
      <c r="K26" s="1440"/>
      <c r="L26" s="1443">
        <f t="shared" si="0"/>
        <v>0</v>
      </c>
      <c r="M26" s="1444"/>
    </row>
    <row r="27" spans="1:21" ht="21.75" customHeight="1" x14ac:dyDescent="0.3">
      <c r="A27" s="110"/>
      <c r="D27" s="16"/>
      <c r="E27" s="16"/>
    </row>
    <row r="28" spans="1:21" x14ac:dyDescent="0.3">
      <c r="A28" s="110"/>
      <c r="B28" s="93"/>
    </row>
    <row r="29" spans="1:21" ht="33" customHeight="1" x14ac:dyDescent="0.3">
      <c r="A29" s="110"/>
      <c r="B29" s="166" t="s">
        <v>224</v>
      </c>
    </row>
    <row r="30" spans="1:21" ht="27" customHeight="1" x14ac:dyDescent="0.3">
      <c r="A30" s="110"/>
      <c r="B30" s="176" t="s">
        <v>239</v>
      </c>
    </row>
    <row r="31" spans="1:21" x14ac:dyDescent="0.3">
      <c r="A31" s="110"/>
      <c r="B31" s="16"/>
    </row>
    <row r="32" spans="1:21" x14ac:dyDescent="0.3">
      <c r="A32" s="110"/>
      <c r="B32" s="16"/>
      <c r="D32" s="92"/>
      <c r="E32" s="92"/>
    </row>
    <row r="33" spans="1:13" x14ac:dyDescent="0.3">
      <c r="A33" s="110"/>
      <c r="B33" s="16"/>
      <c r="D33" s="92"/>
      <c r="E33" s="92"/>
    </row>
    <row r="34" spans="1:13" x14ac:dyDescent="0.3">
      <c r="A34" s="110"/>
      <c r="B34" s="93"/>
      <c r="I34" s="110"/>
      <c r="J34" s="94"/>
    </row>
    <row r="35" spans="1:13" x14ac:dyDescent="0.3">
      <c r="A35" s="110"/>
      <c r="B35" s="100"/>
      <c r="I35" s="111"/>
      <c r="J35" s="94"/>
    </row>
    <row r="36" spans="1:13" x14ac:dyDescent="0.3">
      <c r="A36" s="18"/>
      <c r="B36" s="16"/>
      <c r="D36" s="14"/>
      <c r="E36" s="14"/>
      <c r="I36" s="110"/>
      <c r="J36" s="1448"/>
      <c r="K36" s="1448"/>
      <c r="L36" s="1448"/>
      <c r="M36" s="1448"/>
    </row>
    <row r="37" spans="1:13" x14ac:dyDescent="0.3">
      <c r="A37" s="18"/>
      <c r="B37" s="16"/>
      <c r="D37" s="14"/>
      <c r="E37" s="14"/>
      <c r="I37" s="17"/>
      <c r="J37" s="14"/>
    </row>
    <row r="38" spans="1:13" x14ac:dyDescent="0.3">
      <c r="A38" s="18"/>
      <c r="B38" s="16"/>
    </row>
    <row r="39" spans="1:13" x14ac:dyDescent="0.3">
      <c r="A39" s="18"/>
      <c r="B39" s="16"/>
    </row>
    <row r="40" spans="1:13" x14ac:dyDescent="0.3">
      <c r="A40" s="18"/>
      <c r="B40" s="16"/>
      <c r="D40" s="14"/>
      <c r="E40" s="14"/>
    </row>
    <row r="41" spans="1:13" x14ac:dyDescent="0.3">
      <c r="A41" s="18"/>
      <c r="B41" s="93"/>
    </row>
    <row r="42" spans="1:13" x14ac:dyDescent="0.3">
      <c r="A42" s="18"/>
      <c r="B42" s="100"/>
    </row>
    <row r="43" spans="1:13" ht="18.75" customHeight="1" x14ac:dyDescent="0.3">
      <c r="A43" s="18"/>
      <c r="B43" s="16"/>
    </row>
    <row r="44" spans="1:13" x14ac:dyDescent="0.3">
      <c r="A44" s="18"/>
      <c r="B44" s="16"/>
    </row>
    <row r="45" spans="1:13" x14ac:dyDescent="0.3">
      <c r="A45" s="18"/>
      <c r="B45" s="16"/>
    </row>
    <row r="46" spans="1:13" x14ac:dyDescent="0.3">
      <c r="A46" s="18"/>
      <c r="B46" s="16"/>
    </row>
    <row r="47" spans="1:13" x14ac:dyDescent="0.3">
      <c r="A47" s="18"/>
      <c r="B47" s="16"/>
    </row>
    <row r="48" spans="1:13" x14ac:dyDescent="0.3">
      <c r="A48" s="18"/>
      <c r="B48" s="16"/>
    </row>
    <row r="49" spans="1:2" x14ac:dyDescent="0.3">
      <c r="A49" s="18"/>
      <c r="B49" s="16"/>
    </row>
    <row r="50" spans="1:2" x14ac:dyDescent="0.3">
      <c r="A50" s="18"/>
      <c r="B50" s="16"/>
    </row>
    <row r="51" spans="1:2" x14ac:dyDescent="0.3">
      <c r="A51" s="18"/>
      <c r="B51" s="16"/>
    </row>
    <row r="52" spans="1:2" x14ac:dyDescent="0.3">
      <c r="A52" s="18"/>
      <c r="B52" s="16"/>
    </row>
    <row r="53" spans="1:2" x14ac:dyDescent="0.3">
      <c r="A53" s="18"/>
      <c r="B53" s="16"/>
    </row>
    <row r="54" spans="1:2" x14ac:dyDescent="0.3">
      <c r="A54" s="18"/>
      <c r="B54" s="16"/>
    </row>
    <row r="55" spans="1:2" x14ac:dyDescent="0.3">
      <c r="A55" s="18"/>
      <c r="B55" s="129"/>
    </row>
    <row r="56" spans="1:2" x14ac:dyDescent="0.3">
      <c r="A56" s="18"/>
      <c r="B56" s="14"/>
    </row>
    <row r="57" spans="1:2" x14ac:dyDescent="0.3">
      <c r="A57" s="18"/>
      <c r="B57" s="94"/>
    </row>
    <row r="58" spans="1:2" x14ac:dyDescent="0.3">
      <c r="A58" s="18"/>
      <c r="B58" s="128"/>
    </row>
    <row r="59" spans="1:2" x14ac:dyDescent="0.3">
      <c r="A59" s="18"/>
      <c r="B59" s="94"/>
    </row>
    <row r="60" spans="1:2" x14ac:dyDescent="0.3">
      <c r="A60" s="18"/>
      <c r="B60" s="14"/>
    </row>
    <row r="61" spans="1:2" x14ac:dyDescent="0.3">
      <c r="A61" s="18"/>
      <c r="B61" s="14"/>
    </row>
    <row r="62" spans="1:2" x14ac:dyDescent="0.3">
      <c r="A62" s="18"/>
      <c r="B62" s="14"/>
    </row>
    <row r="63" spans="1:2" x14ac:dyDescent="0.3">
      <c r="A63" s="18"/>
      <c r="B63" s="14"/>
    </row>
    <row r="64" spans="1:2" x14ac:dyDescent="0.3">
      <c r="A64" s="18"/>
      <c r="B64" s="14"/>
    </row>
    <row r="65" spans="1:2" x14ac:dyDescent="0.3">
      <c r="A65" s="18"/>
      <c r="B65" s="14"/>
    </row>
    <row r="66" spans="1:2" x14ac:dyDescent="0.3">
      <c r="A66" s="18"/>
      <c r="B66" s="16"/>
    </row>
    <row r="67" spans="1:2" x14ac:dyDescent="0.3">
      <c r="A67" s="18"/>
      <c r="B67" s="132"/>
    </row>
    <row r="68" spans="1:2" x14ac:dyDescent="0.3">
      <c r="A68" s="18"/>
      <c r="B68" s="130"/>
    </row>
    <row r="69" spans="1:2" x14ac:dyDescent="0.3">
      <c r="B69" s="131"/>
    </row>
    <row r="71" spans="1:2" x14ac:dyDescent="0.3">
      <c r="A71" s="14"/>
      <c r="B71" s="96"/>
    </row>
    <row r="72" spans="1:2" x14ac:dyDescent="0.3">
      <c r="A72" s="14"/>
      <c r="B72" s="96"/>
    </row>
  </sheetData>
  <mergeCells count="46">
    <mergeCell ref="J36:M36"/>
    <mergeCell ref="A18:D18"/>
    <mergeCell ref="D21:M21"/>
    <mergeCell ref="D22:D23"/>
    <mergeCell ref="E22:F22"/>
    <mergeCell ref="G22:I22"/>
    <mergeCell ref="J22:M22"/>
    <mergeCell ref="H23:I23"/>
    <mergeCell ref="J23:K23"/>
    <mergeCell ref="L23:M23"/>
    <mergeCell ref="H26:I26"/>
    <mergeCell ref="J26:K26"/>
    <mergeCell ref="L26:M26"/>
    <mergeCell ref="H24:I24"/>
    <mergeCell ref="J24:K24"/>
    <mergeCell ref="L24:M24"/>
    <mergeCell ref="I6:L6"/>
    <mergeCell ref="M6:O6"/>
    <mergeCell ref="U6:U8"/>
    <mergeCell ref="I7:J7"/>
    <mergeCell ref="K7:L7"/>
    <mergeCell ref="M7:M8"/>
    <mergeCell ref="N7:N8"/>
    <mergeCell ref="O7:O8"/>
    <mergeCell ref="P7:P8"/>
    <mergeCell ref="R7:R8"/>
    <mergeCell ref="S7:S8"/>
    <mergeCell ref="T7:T8"/>
    <mergeCell ref="P6:T6"/>
    <mergeCell ref="Q7:Q8"/>
    <mergeCell ref="H25:I25"/>
    <mergeCell ref="J25:K25"/>
    <mergeCell ref="L25:M25"/>
    <mergeCell ref="A1:U1"/>
    <mergeCell ref="A2:U2"/>
    <mergeCell ref="A3:U3"/>
    <mergeCell ref="A5:A8"/>
    <mergeCell ref="B5:C5"/>
    <mergeCell ref="D5:U5"/>
    <mergeCell ref="B6:B8"/>
    <mergeCell ref="C6:C8"/>
    <mergeCell ref="D6:D8"/>
    <mergeCell ref="E6:E8"/>
    <mergeCell ref="F6:F8"/>
    <mergeCell ref="G6:G8"/>
    <mergeCell ref="H6:H8"/>
  </mergeCells>
  <printOptions horizontalCentered="1"/>
  <pageMargins left="0.196850393700787" right="0" top="0.59055118110236204" bottom="0.196850393700787" header="0.31496062992126" footer="0.31496062992126"/>
  <pageSetup paperSize="9" scale="48" orientation="landscape" r:id="rId1"/>
  <headerFooter scaleWithDoc="0"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"/>
  <sheetViews>
    <sheetView workbookViewId="0">
      <selection activeCell="D2" sqref="D2"/>
    </sheetView>
  </sheetViews>
  <sheetFormatPr defaultRowHeight="14.25" x14ac:dyDescent="0.2"/>
  <cols>
    <col min="4" max="4" width="15.625" customWidth="1"/>
  </cols>
  <sheetData>
    <row r="1" spans="4:4" x14ac:dyDescent="0.2">
      <c r="D1">
        <f>29+15</f>
        <v>44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9"/>
  <sheetViews>
    <sheetView zoomScale="60" zoomScaleNormal="60" workbookViewId="0">
      <selection activeCell="M6" sqref="M6"/>
    </sheetView>
  </sheetViews>
  <sheetFormatPr defaultColWidth="9" defaultRowHeight="18.75" x14ac:dyDescent="0.3"/>
  <cols>
    <col min="1" max="1" width="4.125" style="11" customWidth="1"/>
    <col min="2" max="2" width="28.75" style="11" customWidth="1"/>
    <col min="3" max="3" width="9.375" style="11" customWidth="1"/>
    <col min="4" max="4" width="11.125" style="11" customWidth="1"/>
    <col min="5" max="5" width="13" style="11" customWidth="1"/>
    <col min="6" max="6" width="12.375" style="11" customWidth="1"/>
    <col min="7" max="7" width="10.875" style="12" customWidth="1"/>
    <col min="8" max="8" width="7.625" style="12" customWidth="1"/>
    <col min="9" max="9" width="12.625" style="11" customWidth="1"/>
    <col min="10" max="10" width="10.375" style="12" customWidth="1"/>
    <col min="11" max="11" width="11.375" style="11" customWidth="1"/>
    <col min="12" max="12" width="22.375" style="11" customWidth="1"/>
    <col min="13" max="23" width="10.375" style="11" customWidth="1"/>
    <col min="24" max="24" width="10" style="11" customWidth="1"/>
    <col min="25" max="25" width="13.75" style="11" customWidth="1"/>
    <col min="26" max="16384" width="9" style="11"/>
  </cols>
  <sheetData>
    <row r="1" spans="1:25" ht="23.25" x14ac:dyDescent="0.3">
      <c r="A1" s="1455" t="s">
        <v>31</v>
      </c>
      <c r="B1" s="1455"/>
      <c r="C1" s="1455"/>
      <c r="D1" s="1455"/>
      <c r="E1" s="1455"/>
      <c r="F1" s="1455"/>
      <c r="G1" s="1455"/>
      <c r="H1" s="1455"/>
      <c r="I1" s="1455"/>
      <c r="J1" s="1455"/>
      <c r="K1" s="1455"/>
      <c r="L1" s="1455"/>
      <c r="M1" s="1455"/>
      <c r="N1" s="1455"/>
      <c r="O1" s="1455"/>
      <c r="P1" s="1455"/>
      <c r="Q1" s="1455"/>
      <c r="R1" s="1455"/>
      <c r="S1" s="1455"/>
      <c r="T1" s="1455"/>
      <c r="U1" s="1455"/>
      <c r="V1" s="1455"/>
      <c r="W1" s="1455"/>
      <c r="X1" s="1455"/>
    </row>
    <row r="2" spans="1:25" ht="23.25" x14ac:dyDescent="0.3">
      <c r="A2" s="1455" t="s">
        <v>35</v>
      </c>
      <c r="B2" s="1455"/>
      <c r="C2" s="1455"/>
      <c r="D2" s="1455"/>
      <c r="E2" s="1455"/>
      <c r="F2" s="1455"/>
      <c r="G2" s="1455"/>
      <c r="H2" s="1455"/>
      <c r="I2" s="1455"/>
      <c r="J2" s="1455"/>
      <c r="K2" s="1455"/>
      <c r="L2" s="1455"/>
      <c r="M2" s="1455"/>
      <c r="N2" s="1455"/>
      <c r="O2" s="1455"/>
      <c r="P2" s="1455"/>
      <c r="Q2" s="1455"/>
      <c r="R2" s="1455"/>
      <c r="S2" s="1455"/>
      <c r="T2" s="1455"/>
      <c r="U2" s="1455"/>
      <c r="V2" s="1455"/>
      <c r="W2" s="1455"/>
      <c r="X2" s="1455"/>
    </row>
    <row r="3" spans="1:25" ht="18" customHeight="1" x14ac:dyDescent="0.3">
      <c r="A3" s="1455" t="s">
        <v>165</v>
      </c>
      <c r="B3" s="1455"/>
      <c r="C3" s="1455"/>
      <c r="D3" s="1455"/>
      <c r="E3" s="1455"/>
      <c r="F3" s="1455"/>
      <c r="G3" s="1455"/>
      <c r="H3" s="1455"/>
      <c r="I3" s="1455"/>
      <c r="J3" s="1455"/>
      <c r="K3" s="1455"/>
      <c r="L3" s="1455"/>
      <c r="M3" s="1455"/>
      <c r="N3" s="1455"/>
      <c r="O3" s="1455"/>
      <c r="P3" s="1455"/>
      <c r="Q3" s="1455"/>
      <c r="R3" s="1455"/>
      <c r="S3" s="1455"/>
      <c r="T3" s="1455"/>
      <c r="U3" s="1455"/>
      <c r="V3" s="1455"/>
      <c r="W3" s="1455"/>
      <c r="X3" s="1455"/>
    </row>
    <row r="4" spans="1:25" ht="14.25" customHeight="1" x14ac:dyDescent="0.3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2"/>
    </row>
    <row r="5" spans="1:25" ht="33" customHeight="1" x14ac:dyDescent="0.3">
      <c r="A5" s="1512" t="s">
        <v>0</v>
      </c>
      <c r="B5" s="1459" t="s">
        <v>1</v>
      </c>
      <c r="C5" s="1514" t="s">
        <v>26</v>
      </c>
      <c r="D5" s="1514" t="s">
        <v>11</v>
      </c>
      <c r="E5" s="1516" t="s">
        <v>2</v>
      </c>
      <c r="F5" s="1516" t="s">
        <v>3</v>
      </c>
      <c r="G5" s="1516" t="s">
        <v>8</v>
      </c>
      <c r="H5" s="1517" t="s">
        <v>30</v>
      </c>
      <c r="I5" s="1517"/>
      <c r="J5" s="1517"/>
      <c r="K5" s="1517"/>
      <c r="L5" s="1517"/>
      <c r="M5" s="1459" t="s">
        <v>10</v>
      </c>
      <c r="N5" s="1459"/>
      <c r="O5" s="1459"/>
      <c r="P5" s="1459"/>
      <c r="Q5" s="1459"/>
      <c r="R5" s="1459"/>
      <c r="S5" s="1459"/>
      <c r="T5" s="1459"/>
      <c r="U5" s="1459"/>
      <c r="V5" s="1459"/>
      <c r="W5" s="1516" t="s">
        <v>16</v>
      </c>
      <c r="X5" s="1518" t="s">
        <v>36</v>
      </c>
    </row>
    <row r="6" spans="1:25" ht="102" customHeight="1" x14ac:dyDescent="0.3">
      <c r="A6" s="1513"/>
      <c r="B6" s="1459"/>
      <c r="C6" s="1515"/>
      <c r="D6" s="1515"/>
      <c r="E6" s="1516"/>
      <c r="F6" s="1516"/>
      <c r="G6" s="1516"/>
      <c r="H6" s="20" t="s">
        <v>5</v>
      </c>
      <c r="I6" s="21" t="s">
        <v>6</v>
      </c>
      <c r="J6" s="21" t="s">
        <v>20</v>
      </c>
      <c r="K6" s="21" t="s">
        <v>7</v>
      </c>
      <c r="L6" s="20" t="s">
        <v>9</v>
      </c>
      <c r="M6" s="54" t="s">
        <v>32</v>
      </c>
      <c r="N6" s="54" t="s">
        <v>142</v>
      </c>
      <c r="O6" s="54" t="s">
        <v>143</v>
      </c>
      <c r="P6" s="54" t="s">
        <v>144</v>
      </c>
      <c r="Q6" s="54" t="s">
        <v>145</v>
      </c>
      <c r="R6" s="54" t="s">
        <v>148</v>
      </c>
      <c r="S6" s="54" t="s">
        <v>146</v>
      </c>
      <c r="T6" s="54" t="s">
        <v>147</v>
      </c>
      <c r="U6" s="54" t="s">
        <v>33</v>
      </c>
      <c r="V6" s="54" t="s">
        <v>34</v>
      </c>
      <c r="W6" s="1516"/>
      <c r="X6" s="1519"/>
    </row>
    <row r="7" spans="1:25" ht="43.5" customHeight="1" x14ac:dyDescent="0.3">
      <c r="A7" s="42">
        <v>1</v>
      </c>
      <c r="B7" s="43" t="s">
        <v>51</v>
      </c>
      <c r="C7" s="44">
        <f>SUM(C8)</f>
        <v>1315900</v>
      </c>
      <c r="D7" s="44">
        <f>SUM(D8)</f>
        <v>0</v>
      </c>
      <c r="E7" s="44">
        <f>E8</f>
        <v>1315900</v>
      </c>
      <c r="F7" s="55">
        <f t="shared" ref="F7:W7" si="0">F8</f>
        <v>0</v>
      </c>
      <c r="G7" s="55">
        <f t="shared" si="0"/>
        <v>0</v>
      </c>
      <c r="H7" s="55">
        <f t="shared" si="0"/>
        <v>0</v>
      </c>
      <c r="I7" s="55">
        <f t="shared" si="0"/>
        <v>0</v>
      </c>
      <c r="J7" s="55">
        <f t="shared" si="0"/>
        <v>0</v>
      </c>
      <c r="K7" s="55">
        <f t="shared" si="0"/>
        <v>0</v>
      </c>
      <c r="L7" s="44"/>
      <c r="M7" s="55">
        <f t="shared" si="0"/>
        <v>0</v>
      </c>
      <c r="N7" s="55">
        <f t="shared" si="0"/>
        <v>0</v>
      </c>
      <c r="O7" s="55">
        <f t="shared" si="0"/>
        <v>0</v>
      </c>
      <c r="P7" s="55">
        <f t="shared" si="0"/>
        <v>0</v>
      </c>
      <c r="Q7" s="55">
        <f t="shared" si="0"/>
        <v>1315900</v>
      </c>
      <c r="R7" s="55">
        <f t="shared" si="0"/>
        <v>0</v>
      </c>
      <c r="S7" s="55">
        <f t="shared" si="0"/>
        <v>0</v>
      </c>
      <c r="T7" s="55">
        <f t="shared" si="0"/>
        <v>0</v>
      </c>
      <c r="U7" s="55">
        <f t="shared" si="0"/>
        <v>0</v>
      </c>
      <c r="V7" s="55">
        <f t="shared" si="0"/>
        <v>0</v>
      </c>
      <c r="W7" s="55">
        <f t="shared" si="0"/>
        <v>0</v>
      </c>
      <c r="X7" s="59"/>
      <c r="Y7" s="67">
        <f>E7-I7-M7-N7-O7-P7-Q7-R7-S7-T7-U7-V7-W7</f>
        <v>0</v>
      </c>
    </row>
    <row r="8" spans="1:25" ht="37.5" x14ac:dyDescent="0.3">
      <c r="A8" s="1"/>
      <c r="B8" s="2" t="s">
        <v>52</v>
      </c>
      <c r="C8" s="33">
        <f>E8</f>
        <v>1315900</v>
      </c>
      <c r="D8" s="33"/>
      <c r="E8" s="41">
        <v>1315900</v>
      </c>
      <c r="F8" s="33"/>
      <c r="G8" s="34"/>
      <c r="H8" s="34">
        <v>0</v>
      </c>
      <c r="I8" s="33"/>
      <c r="J8" s="34"/>
      <c r="K8" s="34"/>
      <c r="L8" s="2" t="s">
        <v>163</v>
      </c>
      <c r="M8" s="60"/>
      <c r="N8" s="60"/>
      <c r="O8" s="60"/>
      <c r="P8" s="60"/>
      <c r="Q8" s="60">
        <f>E8</f>
        <v>1315900</v>
      </c>
      <c r="R8" s="60"/>
      <c r="S8" s="60"/>
      <c r="T8" s="60"/>
      <c r="U8" s="61"/>
      <c r="V8" s="61"/>
      <c r="W8" s="60"/>
      <c r="X8" s="60"/>
      <c r="Y8" s="67">
        <f t="shared" ref="Y8:Y71" si="1">E8-I8-M8-N8-O8-P8-Q8-R8-S8-T8-U8-V8-W8</f>
        <v>0</v>
      </c>
    </row>
    <row r="9" spans="1:25" ht="46.5" customHeight="1" x14ac:dyDescent="0.3">
      <c r="A9" s="45">
        <v>2</v>
      </c>
      <c r="B9" s="46" t="s">
        <v>50</v>
      </c>
      <c r="C9" s="47">
        <f>SUM(C10:C14)</f>
        <v>0</v>
      </c>
      <c r="D9" s="47">
        <f>SUM(D10:D14)</f>
        <v>27077000</v>
      </c>
      <c r="E9" s="47">
        <f>SUM(E10:E14)</f>
        <v>27077000</v>
      </c>
      <c r="F9" s="47">
        <f>SUM(F10:F14)</f>
        <v>0</v>
      </c>
      <c r="G9" s="48"/>
      <c r="H9" s="48">
        <f>SUM(H10:H14)</f>
        <v>5</v>
      </c>
      <c r="I9" s="57">
        <f t="shared" ref="I9:W9" si="2">SUM(I10:I14)</f>
        <v>23479000</v>
      </c>
      <c r="J9" s="48">
        <f t="shared" si="2"/>
        <v>4</v>
      </c>
      <c r="K9" s="48"/>
      <c r="L9" s="48"/>
      <c r="M9" s="48">
        <f t="shared" si="2"/>
        <v>0</v>
      </c>
      <c r="N9" s="48">
        <f t="shared" si="2"/>
        <v>0</v>
      </c>
      <c r="O9" s="48">
        <f t="shared" si="2"/>
        <v>0</v>
      </c>
      <c r="P9" s="48">
        <f t="shared" si="2"/>
        <v>0</v>
      </c>
      <c r="Q9" s="57">
        <f t="shared" si="2"/>
        <v>3110000</v>
      </c>
      <c r="R9" s="48">
        <f t="shared" si="2"/>
        <v>0</v>
      </c>
      <c r="S9" s="48">
        <f t="shared" si="2"/>
        <v>0</v>
      </c>
      <c r="T9" s="48">
        <f t="shared" si="2"/>
        <v>0</v>
      </c>
      <c r="U9" s="48">
        <f t="shared" si="2"/>
        <v>0</v>
      </c>
      <c r="V9" s="48">
        <f t="shared" si="2"/>
        <v>0</v>
      </c>
      <c r="W9" s="57">
        <f t="shared" si="2"/>
        <v>488000</v>
      </c>
      <c r="X9" s="57"/>
      <c r="Y9" s="67">
        <f t="shared" si="1"/>
        <v>0</v>
      </c>
    </row>
    <row r="10" spans="1:25" ht="63.75" customHeight="1" x14ac:dyDescent="0.3">
      <c r="A10" s="1"/>
      <c r="B10" s="2" t="s">
        <v>53</v>
      </c>
      <c r="C10" s="33"/>
      <c r="D10" s="33">
        <v>3598000</v>
      </c>
      <c r="E10" s="41">
        <v>3598000</v>
      </c>
      <c r="F10" s="33"/>
      <c r="G10" s="34"/>
      <c r="H10" s="34">
        <v>1</v>
      </c>
      <c r="I10" s="33"/>
      <c r="J10" s="34" t="s">
        <v>4</v>
      </c>
      <c r="K10" s="34"/>
      <c r="L10" s="2" t="s">
        <v>154</v>
      </c>
      <c r="M10" s="60"/>
      <c r="N10" s="60"/>
      <c r="O10" s="60"/>
      <c r="P10" s="60"/>
      <c r="Q10" s="60">
        <v>3110000</v>
      </c>
      <c r="R10" s="60"/>
      <c r="S10" s="60"/>
      <c r="T10" s="60"/>
      <c r="U10" s="61"/>
      <c r="V10" s="61"/>
      <c r="W10" s="60">
        <v>488000</v>
      </c>
      <c r="X10" s="60"/>
      <c r="Y10" s="67">
        <f t="shared" si="1"/>
        <v>0</v>
      </c>
    </row>
    <row r="11" spans="1:25" ht="37.5" x14ac:dyDescent="0.3">
      <c r="A11" s="1"/>
      <c r="B11" s="2" t="s">
        <v>54</v>
      </c>
      <c r="C11" s="33"/>
      <c r="D11" s="33">
        <v>12000000</v>
      </c>
      <c r="E11" s="41">
        <v>12000000</v>
      </c>
      <c r="F11" s="33"/>
      <c r="G11" s="34"/>
      <c r="H11" s="34">
        <v>1</v>
      </c>
      <c r="I11" s="33">
        <f>E11</f>
        <v>12000000</v>
      </c>
      <c r="J11" s="34">
        <v>1</v>
      </c>
      <c r="K11" s="34">
        <v>5</v>
      </c>
      <c r="L11" s="2" t="s">
        <v>150</v>
      </c>
      <c r="M11" s="60"/>
      <c r="N11" s="60"/>
      <c r="O11" s="60"/>
      <c r="P11" s="60"/>
      <c r="Q11" s="60"/>
      <c r="R11" s="60"/>
      <c r="S11" s="60"/>
      <c r="T11" s="60"/>
      <c r="U11" s="61"/>
      <c r="V11" s="61"/>
      <c r="W11" s="60"/>
      <c r="X11" s="60"/>
      <c r="Y11" s="67">
        <f t="shared" si="1"/>
        <v>0</v>
      </c>
    </row>
    <row r="12" spans="1:25" ht="70.5" customHeight="1" x14ac:dyDescent="0.3">
      <c r="A12" s="35"/>
      <c r="B12" s="2" t="s">
        <v>55</v>
      </c>
      <c r="C12" s="33"/>
      <c r="D12" s="33">
        <v>2379000</v>
      </c>
      <c r="E12" s="41">
        <v>2379000</v>
      </c>
      <c r="F12" s="37"/>
      <c r="G12" s="38"/>
      <c r="H12" s="38">
        <v>1</v>
      </c>
      <c r="I12" s="33">
        <f>E12</f>
        <v>2379000</v>
      </c>
      <c r="J12" s="34">
        <v>1</v>
      </c>
      <c r="K12" s="34">
        <v>5</v>
      </c>
      <c r="L12" s="2" t="s">
        <v>159</v>
      </c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7">
        <f t="shared" si="1"/>
        <v>0</v>
      </c>
    </row>
    <row r="13" spans="1:25" ht="56.25" x14ac:dyDescent="0.3">
      <c r="A13" s="1"/>
      <c r="B13" s="2" t="s">
        <v>56</v>
      </c>
      <c r="C13" s="33"/>
      <c r="D13" s="33">
        <v>7200000</v>
      </c>
      <c r="E13" s="41">
        <v>7200000</v>
      </c>
      <c r="F13" s="33"/>
      <c r="G13" s="34"/>
      <c r="H13" s="34">
        <v>1</v>
      </c>
      <c r="I13" s="33">
        <f>E13</f>
        <v>7200000</v>
      </c>
      <c r="J13" s="34">
        <v>1</v>
      </c>
      <c r="K13" s="34">
        <v>5</v>
      </c>
      <c r="L13" s="2" t="s">
        <v>160</v>
      </c>
      <c r="M13" s="60"/>
      <c r="N13" s="60"/>
      <c r="O13" s="60"/>
      <c r="P13" s="60"/>
      <c r="Q13" s="60"/>
      <c r="R13" s="60"/>
      <c r="S13" s="60"/>
      <c r="T13" s="60"/>
      <c r="U13" s="61"/>
      <c r="V13" s="61"/>
      <c r="W13" s="60"/>
      <c r="X13" s="60"/>
      <c r="Y13" s="67">
        <f t="shared" si="1"/>
        <v>0</v>
      </c>
    </row>
    <row r="14" spans="1:25" ht="42" customHeight="1" x14ac:dyDescent="0.3">
      <c r="A14" s="1"/>
      <c r="B14" s="2" t="s">
        <v>57</v>
      </c>
      <c r="C14" s="33"/>
      <c r="D14" s="33">
        <v>1900000</v>
      </c>
      <c r="E14" s="41">
        <v>1900000</v>
      </c>
      <c r="F14" s="33"/>
      <c r="G14" s="34"/>
      <c r="H14" s="34">
        <v>1</v>
      </c>
      <c r="I14" s="33">
        <f>E14</f>
        <v>1900000</v>
      </c>
      <c r="J14" s="34">
        <v>1</v>
      </c>
      <c r="K14" s="34">
        <v>5</v>
      </c>
      <c r="L14" s="2" t="s">
        <v>150</v>
      </c>
      <c r="M14" s="60"/>
      <c r="N14" s="60"/>
      <c r="O14" s="60"/>
      <c r="P14" s="60"/>
      <c r="Q14" s="60"/>
      <c r="R14" s="60"/>
      <c r="S14" s="60"/>
      <c r="T14" s="60"/>
      <c r="U14" s="61"/>
      <c r="V14" s="61"/>
      <c r="W14" s="60"/>
      <c r="X14" s="60"/>
      <c r="Y14" s="67">
        <f t="shared" si="1"/>
        <v>0</v>
      </c>
    </row>
    <row r="15" spans="1:25" ht="37.5" x14ac:dyDescent="0.3">
      <c r="A15" s="45">
        <v>3</v>
      </c>
      <c r="B15" s="46" t="s">
        <v>138</v>
      </c>
      <c r="C15" s="47">
        <f>SUM(C16)</f>
        <v>10000000</v>
      </c>
      <c r="D15" s="47">
        <f>SUM(D16)</f>
        <v>0</v>
      </c>
      <c r="E15" s="47">
        <f>SUM(E16)</f>
        <v>10000000</v>
      </c>
      <c r="F15" s="47">
        <f>SUM(F16)</f>
        <v>1945505.81</v>
      </c>
      <c r="G15" s="48"/>
      <c r="H15" s="57">
        <f>SUM(H16)</f>
        <v>0</v>
      </c>
      <c r="I15" s="57">
        <f t="shared" ref="I15:W15" si="3">SUM(I16)</f>
        <v>0</v>
      </c>
      <c r="J15" s="57">
        <f t="shared" si="3"/>
        <v>0</v>
      </c>
      <c r="K15" s="57">
        <f t="shared" si="3"/>
        <v>0</v>
      </c>
      <c r="L15" s="57">
        <f t="shared" si="3"/>
        <v>0</v>
      </c>
      <c r="M15" s="57">
        <f t="shared" si="3"/>
        <v>2000000</v>
      </c>
      <c r="N15" s="57">
        <f t="shared" si="3"/>
        <v>1000000</v>
      </c>
      <c r="O15" s="57">
        <f t="shared" si="3"/>
        <v>1000000</v>
      </c>
      <c r="P15" s="57">
        <f t="shared" si="3"/>
        <v>1000000</v>
      </c>
      <c r="Q15" s="57">
        <f t="shared" si="3"/>
        <v>1000000</v>
      </c>
      <c r="R15" s="57">
        <f t="shared" si="3"/>
        <v>1000000</v>
      </c>
      <c r="S15" s="57">
        <f t="shared" si="3"/>
        <v>1000000</v>
      </c>
      <c r="T15" s="57">
        <f t="shared" si="3"/>
        <v>1000000</v>
      </c>
      <c r="U15" s="57">
        <f t="shared" si="3"/>
        <v>1000000</v>
      </c>
      <c r="V15" s="57">
        <f t="shared" si="3"/>
        <v>0</v>
      </c>
      <c r="W15" s="57">
        <f t="shared" si="3"/>
        <v>0</v>
      </c>
      <c r="X15" s="63"/>
      <c r="Y15" s="67">
        <f t="shared" si="1"/>
        <v>0</v>
      </c>
    </row>
    <row r="16" spans="1:25" ht="46.5" customHeight="1" x14ac:dyDescent="0.3">
      <c r="A16" s="35"/>
      <c r="B16" s="2" t="s">
        <v>58</v>
      </c>
      <c r="C16" s="33">
        <v>10000000</v>
      </c>
      <c r="D16" s="33"/>
      <c r="E16" s="41">
        <v>10000000</v>
      </c>
      <c r="F16" s="37">
        <v>1945505.81</v>
      </c>
      <c r="G16" s="38"/>
      <c r="H16" s="38">
        <v>0</v>
      </c>
      <c r="I16" s="37"/>
      <c r="J16" s="38"/>
      <c r="K16" s="38"/>
      <c r="L16" s="2" t="s">
        <v>158</v>
      </c>
      <c r="M16" s="60">
        <v>2000000</v>
      </c>
      <c r="N16" s="60">
        <v>1000000</v>
      </c>
      <c r="O16" s="60">
        <v>1000000</v>
      </c>
      <c r="P16" s="60">
        <v>1000000</v>
      </c>
      <c r="Q16" s="60">
        <v>1000000</v>
      </c>
      <c r="R16" s="60">
        <v>1000000</v>
      </c>
      <c r="S16" s="60">
        <v>1000000</v>
      </c>
      <c r="T16" s="60">
        <v>1000000</v>
      </c>
      <c r="U16" s="60">
        <v>1000000</v>
      </c>
      <c r="V16" s="62"/>
      <c r="W16" s="62"/>
      <c r="X16" s="62"/>
      <c r="Y16" s="67">
        <f>E16-I16-M16-N16-O16-P16-Q16-R16-S16-T16-U16-V16-W16</f>
        <v>0</v>
      </c>
    </row>
    <row r="17" spans="1:25" ht="37.5" x14ac:dyDescent="0.3">
      <c r="A17" s="45">
        <v>4</v>
      </c>
      <c r="B17" s="46" t="s">
        <v>126</v>
      </c>
      <c r="C17" s="47">
        <f>SUM(C18:C21)</f>
        <v>21095500</v>
      </c>
      <c r="D17" s="47">
        <f>SUM(D18:D21)</f>
        <v>10000000</v>
      </c>
      <c r="E17" s="47">
        <f>SUM(E18:E21)</f>
        <v>31095500</v>
      </c>
      <c r="F17" s="47">
        <f>SUM(F18:F21)</f>
        <v>304400</v>
      </c>
      <c r="G17" s="48"/>
      <c r="H17" s="48">
        <f>SUM(H18:H21)</f>
        <v>1</v>
      </c>
      <c r="I17" s="47">
        <f>SUM(I18:I21)</f>
        <v>29680000</v>
      </c>
      <c r="J17" s="58"/>
      <c r="K17" s="58"/>
      <c r="L17" s="47">
        <f t="shared" ref="L17:W17" si="4">SUM(L18:L21)</f>
        <v>0</v>
      </c>
      <c r="M17" s="57">
        <f t="shared" si="4"/>
        <v>0</v>
      </c>
      <c r="N17" s="57">
        <f t="shared" si="4"/>
        <v>0</v>
      </c>
      <c r="O17" s="57">
        <f t="shared" si="4"/>
        <v>0</v>
      </c>
      <c r="P17" s="57">
        <f t="shared" si="4"/>
        <v>1415500</v>
      </c>
      <c r="Q17" s="57">
        <f t="shared" si="4"/>
        <v>0</v>
      </c>
      <c r="R17" s="57">
        <f t="shared" si="4"/>
        <v>0</v>
      </c>
      <c r="S17" s="57">
        <f t="shared" si="4"/>
        <v>0</v>
      </c>
      <c r="T17" s="57">
        <f t="shared" si="4"/>
        <v>0</v>
      </c>
      <c r="U17" s="57">
        <f t="shared" si="4"/>
        <v>0</v>
      </c>
      <c r="V17" s="57">
        <f t="shared" si="4"/>
        <v>0</v>
      </c>
      <c r="W17" s="57">
        <f t="shared" si="4"/>
        <v>0</v>
      </c>
      <c r="X17" s="57"/>
      <c r="Y17" s="67">
        <f t="shared" si="1"/>
        <v>0</v>
      </c>
    </row>
    <row r="18" spans="1:25" ht="87.75" customHeight="1" x14ac:dyDescent="0.3">
      <c r="A18" s="35"/>
      <c r="B18" s="2" t="s">
        <v>59</v>
      </c>
      <c r="C18" s="33">
        <v>9930000</v>
      </c>
      <c r="D18" s="33"/>
      <c r="E18" s="41">
        <v>9930000</v>
      </c>
      <c r="F18" s="37"/>
      <c r="G18" s="38"/>
      <c r="H18" s="38">
        <v>0</v>
      </c>
      <c r="I18" s="37">
        <f>E18</f>
        <v>9930000</v>
      </c>
      <c r="J18" s="38">
        <v>2</v>
      </c>
      <c r="K18" s="38">
        <v>5</v>
      </c>
      <c r="L18" s="2" t="s">
        <v>162</v>
      </c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7">
        <f t="shared" si="1"/>
        <v>0</v>
      </c>
    </row>
    <row r="19" spans="1:25" ht="44.25" customHeight="1" x14ac:dyDescent="0.3">
      <c r="A19" s="1"/>
      <c r="B19" s="2" t="s">
        <v>60</v>
      </c>
      <c r="C19" s="33"/>
      <c r="D19" s="33">
        <v>10000000</v>
      </c>
      <c r="E19" s="41">
        <v>10000000</v>
      </c>
      <c r="F19" s="33"/>
      <c r="G19" s="34"/>
      <c r="H19" s="34">
        <v>1</v>
      </c>
      <c r="I19" s="33">
        <f>E19</f>
        <v>10000000</v>
      </c>
      <c r="J19" s="34">
        <v>2</v>
      </c>
      <c r="K19" s="34">
        <v>5</v>
      </c>
      <c r="L19" s="2" t="s">
        <v>161</v>
      </c>
      <c r="M19" s="60"/>
      <c r="N19" s="60"/>
      <c r="O19" s="60"/>
      <c r="P19" s="60"/>
      <c r="Q19" s="60"/>
      <c r="R19" s="60"/>
      <c r="S19" s="60"/>
      <c r="T19" s="60"/>
      <c r="U19" s="61"/>
      <c r="V19" s="61"/>
      <c r="W19" s="60"/>
      <c r="X19" s="60"/>
      <c r="Y19" s="67">
        <f t="shared" si="1"/>
        <v>0</v>
      </c>
    </row>
    <row r="20" spans="1:25" ht="66" customHeight="1" x14ac:dyDescent="0.3">
      <c r="A20" s="1"/>
      <c r="B20" s="2" t="s">
        <v>61</v>
      </c>
      <c r="C20" s="33">
        <v>1415500</v>
      </c>
      <c r="D20" s="33"/>
      <c r="E20" s="41">
        <v>1415500</v>
      </c>
      <c r="F20" s="33">
        <v>304400</v>
      </c>
      <c r="G20" s="34"/>
      <c r="H20" s="34">
        <v>0</v>
      </c>
      <c r="I20" s="33"/>
      <c r="J20" s="34"/>
      <c r="K20" s="34"/>
      <c r="L20" s="2" t="s">
        <v>163</v>
      </c>
      <c r="M20" s="60"/>
      <c r="N20" s="60"/>
      <c r="O20" s="60"/>
      <c r="P20" s="60">
        <f>E20</f>
        <v>1415500</v>
      </c>
      <c r="Q20" s="60"/>
      <c r="R20" s="60"/>
      <c r="S20" s="60"/>
      <c r="T20" s="60"/>
      <c r="U20" s="61"/>
      <c r="V20" s="61"/>
      <c r="W20" s="60"/>
      <c r="X20" s="60"/>
      <c r="Y20" s="67">
        <f t="shared" si="1"/>
        <v>0</v>
      </c>
    </row>
    <row r="21" spans="1:25" ht="39" customHeight="1" x14ac:dyDescent="0.3">
      <c r="A21" s="1"/>
      <c r="B21" s="2" t="s">
        <v>62</v>
      </c>
      <c r="C21" s="33">
        <v>9750000</v>
      </c>
      <c r="D21" s="33"/>
      <c r="E21" s="41">
        <v>9750000</v>
      </c>
      <c r="F21" s="33"/>
      <c r="G21" s="34"/>
      <c r="H21" s="34">
        <v>0</v>
      </c>
      <c r="I21" s="33">
        <f>E21</f>
        <v>9750000</v>
      </c>
      <c r="J21" s="34">
        <v>2</v>
      </c>
      <c r="K21" s="34">
        <v>5</v>
      </c>
      <c r="L21" s="2" t="s">
        <v>162</v>
      </c>
      <c r="M21" s="60"/>
      <c r="N21" s="60"/>
      <c r="O21" s="60"/>
      <c r="P21" s="60"/>
      <c r="Q21" s="60"/>
      <c r="R21" s="60"/>
      <c r="S21" s="60"/>
      <c r="T21" s="60"/>
      <c r="U21" s="61"/>
      <c r="V21" s="61"/>
      <c r="W21" s="60"/>
      <c r="X21" s="60"/>
      <c r="Y21" s="67">
        <f t="shared" si="1"/>
        <v>0</v>
      </c>
    </row>
    <row r="22" spans="1:25" ht="38.25" customHeight="1" x14ac:dyDescent="0.3">
      <c r="A22" s="45">
        <v>4</v>
      </c>
      <c r="B22" s="46" t="s">
        <v>134</v>
      </c>
      <c r="C22" s="47">
        <f>SUM(C23:C25)</f>
        <v>0</v>
      </c>
      <c r="D22" s="47">
        <f>SUM(D23:D25)</f>
        <v>44347000</v>
      </c>
      <c r="E22" s="47">
        <f>SUM(E23:E25)</f>
        <v>44347000</v>
      </c>
      <c r="F22" s="47">
        <f>SUM(F23:F25)</f>
        <v>0</v>
      </c>
      <c r="G22" s="48"/>
      <c r="H22" s="48">
        <f>SUM(H23:H25)</f>
        <v>3</v>
      </c>
      <c r="I22" s="47">
        <f>SUM(I23:I25)</f>
        <v>44347000</v>
      </c>
      <c r="J22" s="58"/>
      <c r="K22" s="58"/>
      <c r="L22" s="47">
        <f t="shared" ref="L22:W22" si="5">SUM(L23:L25)</f>
        <v>0</v>
      </c>
      <c r="M22" s="57">
        <f t="shared" si="5"/>
        <v>0</v>
      </c>
      <c r="N22" s="57">
        <f t="shared" si="5"/>
        <v>0</v>
      </c>
      <c r="O22" s="57">
        <f t="shared" si="5"/>
        <v>0</v>
      </c>
      <c r="P22" s="57">
        <f t="shared" si="5"/>
        <v>0</v>
      </c>
      <c r="Q22" s="57">
        <f t="shared" si="5"/>
        <v>0</v>
      </c>
      <c r="R22" s="57">
        <f t="shared" si="5"/>
        <v>0</v>
      </c>
      <c r="S22" s="57">
        <f t="shared" si="5"/>
        <v>0</v>
      </c>
      <c r="T22" s="57">
        <f t="shared" si="5"/>
        <v>0</v>
      </c>
      <c r="U22" s="57">
        <f t="shared" si="5"/>
        <v>0</v>
      </c>
      <c r="V22" s="57">
        <f t="shared" si="5"/>
        <v>0</v>
      </c>
      <c r="W22" s="57">
        <f t="shared" si="5"/>
        <v>0</v>
      </c>
      <c r="X22" s="57"/>
      <c r="Y22" s="67">
        <f t="shared" si="1"/>
        <v>0</v>
      </c>
    </row>
    <row r="23" spans="1:25" ht="42.75" customHeight="1" x14ac:dyDescent="0.3">
      <c r="A23" s="1"/>
      <c r="B23" s="2" t="s">
        <v>63</v>
      </c>
      <c r="C23" s="33"/>
      <c r="D23" s="33">
        <v>23000000</v>
      </c>
      <c r="E23" s="41">
        <v>23000000</v>
      </c>
      <c r="F23" s="33"/>
      <c r="G23" s="34"/>
      <c r="H23" s="34">
        <v>1</v>
      </c>
      <c r="I23" s="33">
        <f>E23</f>
        <v>23000000</v>
      </c>
      <c r="J23" s="34">
        <v>1</v>
      </c>
      <c r="K23" s="34">
        <v>5</v>
      </c>
      <c r="L23" s="2" t="s">
        <v>149</v>
      </c>
      <c r="M23" s="60"/>
      <c r="N23" s="60"/>
      <c r="O23" s="60"/>
      <c r="P23" s="60"/>
      <c r="Q23" s="60"/>
      <c r="R23" s="60"/>
      <c r="S23" s="60"/>
      <c r="T23" s="60"/>
      <c r="U23" s="61"/>
      <c r="V23" s="61"/>
      <c r="W23" s="60"/>
      <c r="X23" s="60"/>
      <c r="Y23" s="67">
        <f t="shared" si="1"/>
        <v>0</v>
      </c>
    </row>
    <row r="24" spans="1:25" ht="75" x14ac:dyDescent="0.3">
      <c r="A24" s="1"/>
      <c r="B24" s="2" t="s">
        <v>64</v>
      </c>
      <c r="C24" s="33"/>
      <c r="D24" s="33">
        <v>1347000</v>
      </c>
      <c r="E24" s="41">
        <v>1347000</v>
      </c>
      <c r="F24" s="33"/>
      <c r="G24" s="34"/>
      <c r="H24" s="34">
        <v>1</v>
      </c>
      <c r="I24" s="33">
        <f>E24</f>
        <v>1347000</v>
      </c>
      <c r="J24" s="34">
        <v>1</v>
      </c>
      <c r="K24" s="34">
        <v>5</v>
      </c>
      <c r="L24" s="2" t="s">
        <v>154</v>
      </c>
      <c r="M24" s="60"/>
      <c r="N24" s="60"/>
      <c r="O24" s="60"/>
      <c r="P24" s="60"/>
      <c r="Q24" s="60"/>
      <c r="R24" s="60"/>
      <c r="S24" s="60"/>
      <c r="T24" s="60"/>
      <c r="U24" s="61"/>
      <c r="V24" s="61"/>
      <c r="W24" s="60"/>
      <c r="X24" s="60"/>
      <c r="Y24" s="67">
        <f t="shared" si="1"/>
        <v>0</v>
      </c>
    </row>
    <row r="25" spans="1:25" ht="42.75" customHeight="1" x14ac:dyDescent="0.3">
      <c r="A25" s="35"/>
      <c r="B25" s="2" t="s">
        <v>65</v>
      </c>
      <c r="C25" s="33"/>
      <c r="D25" s="33">
        <v>20000000</v>
      </c>
      <c r="E25" s="41">
        <v>20000000</v>
      </c>
      <c r="F25" s="37"/>
      <c r="G25" s="38"/>
      <c r="H25" s="38">
        <v>1</v>
      </c>
      <c r="I25" s="37">
        <f>E25</f>
        <v>20000000</v>
      </c>
      <c r="J25" s="38">
        <v>1</v>
      </c>
      <c r="K25" s="38">
        <v>5</v>
      </c>
      <c r="L25" s="2" t="s">
        <v>150</v>
      </c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7">
        <f t="shared" si="1"/>
        <v>0</v>
      </c>
    </row>
    <row r="26" spans="1:25" ht="37.5" x14ac:dyDescent="0.3">
      <c r="A26" s="45">
        <v>5</v>
      </c>
      <c r="B26" s="46" t="s">
        <v>135</v>
      </c>
      <c r="C26" s="47">
        <f>SUM(C27)</f>
        <v>0</v>
      </c>
      <c r="D26" s="47">
        <f t="shared" ref="D26:W26" si="6">SUM(D27)</f>
        <v>5000000</v>
      </c>
      <c r="E26" s="47">
        <f t="shared" si="6"/>
        <v>5000000</v>
      </c>
      <c r="F26" s="57">
        <f t="shared" si="6"/>
        <v>0</v>
      </c>
      <c r="G26" s="57">
        <f t="shared" si="6"/>
        <v>0</v>
      </c>
      <c r="H26" s="58">
        <f t="shared" si="6"/>
        <v>1</v>
      </c>
      <c r="I26" s="57">
        <f t="shared" si="6"/>
        <v>5000000</v>
      </c>
      <c r="J26" s="58"/>
      <c r="K26" s="58"/>
      <c r="L26" s="47">
        <f t="shared" si="6"/>
        <v>0</v>
      </c>
      <c r="M26" s="57">
        <f t="shared" si="6"/>
        <v>0</v>
      </c>
      <c r="N26" s="57">
        <f t="shared" si="6"/>
        <v>0</v>
      </c>
      <c r="O26" s="57">
        <f t="shared" si="6"/>
        <v>0</v>
      </c>
      <c r="P26" s="57">
        <f t="shared" si="6"/>
        <v>0</v>
      </c>
      <c r="Q26" s="57">
        <f t="shared" si="6"/>
        <v>0</v>
      </c>
      <c r="R26" s="57">
        <f t="shared" si="6"/>
        <v>0</v>
      </c>
      <c r="S26" s="57">
        <f t="shared" si="6"/>
        <v>0</v>
      </c>
      <c r="T26" s="57">
        <f t="shared" si="6"/>
        <v>0</v>
      </c>
      <c r="U26" s="57">
        <f t="shared" si="6"/>
        <v>0</v>
      </c>
      <c r="V26" s="57">
        <f t="shared" si="6"/>
        <v>0</v>
      </c>
      <c r="W26" s="57">
        <f t="shared" si="6"/>
        <v>0</v>
      </c>
      <c r="X26" s="63"/>
      <c r="Y26" s="67">
        <f t="shared" si="1"/>
        <v>0</v>
      </c>
    </row>
    <row r="27" spans="1:25" ht="85.5" customHeight="1" x14ac:dyDescent="0.3">
      <c r="A27" s="1"/>
      <c r="B27" s="2" t="s">
        <v>66</v>
      </c>
      <c r="C27" s="33"/>
      <c r="D27" s="33">
        <v>5000000</v>
      </c>
      <c r="E27" s="41">
        <v>5000000</v>
      </c>
      <c r="F27" s="33"/>
      <c r="G27" s="34"/>
      <c r="H27" s="34">
        <v>1</v>
      </c>
      <c r="I27" s="33">
        <v>5000000</v>
      </c>
      <c r="J27" s="34">
        <v>1</v>
      </c>
      <c r="K27" s="34">
        <v>5</v>
      </c>
      <c r="L27" s="2" t="s">
        <v>149</v>
      </c>
      <c r="M27" s="60"/>
      <c r="N27" s="60"/>
      <c r="O27" s="60"/>
      <c r="P27" s="60"/>
      <c r="Q27" s="60"/>
      <c r="R27" s="60"/>
      <c r="S27" s="60"/>
      <c r="T27" s="60"/>
      <c r="U27" s="61"/>
      <c r="V27" s="61"/>
      <c r="W27" s="60"/>
      <c r="X27" s="60"/>
      <c r="Y27" s="67">
        <f t="shared" si="1"/>
        <v>0</v>
      </c>
    </row>
    <row r="28" spans="1:25" ht="67.5" customHeight="1" x14ac:dyDescent="0.3">
      <c r="A28" s="45">
        <v>6</v>
      </c>
      <c r="B28" s="46" t="s">
        <v>136</v>
      </c>
      <c r="C28" s="47">
        <f>SUM(C29:C32)</f>
        <v>0</v>
      </c>
      <c r="D28" s="47">
        <f>SUM(D29:D32)</f>
        <v>35706000</v>
      </c>
      <c r="E28" s="47">
        <f>SUM(E29:E32)</f>
        <v>35706000</v>
      </c>
      <c r="F28" s="47">
        <f>SUM(F29:F32)</f>
        <v>0</v>
      </c>
      <c r="G28" s="48"/>
      <c r="H28" s="48">
        <f>SUM(H29:H32)</f>
        <v>4</v>
      </c>
      <c r="I28" s="47">
        <f>SUM(I29:I32)</f>
        <v>35706000</v>
      </c>
      <c r="J28" s="58"/>
      <c r="K28" s="58"/>
      <c r="L28" s="47">
        <f t="shared" ref="L28:W28" si="7">SUM(L29:L32)</f>
        <v>0</v>
      </c>
      <c r="M28" s="57">
        <f t="shared" si="7"/>
        <v>0</v>
      </c>
      <c r="N28" s="57">
        <f t="shared" si="7"/>
        <v>0</v>
      </c>
      <c r="O28" s="57">
        <f t="shared" si="7"/>
        <v>0</v>
      </c>
      <c r="P28" s="57">
        <f t="shared" si="7"/>
        <v>0</v>
      </c>
      <c r="Q28" s="57">
        <f t="shared" si="7"/>
        <v>0</v>
      </c>
      <c r="R28" s="57">
        <f t="shared" si="7"/>
        <v>0</v>
      </c>
      <c r="S28" s="57">
        <f t="shared" si="7"/>
        <v>0</v>
      </c>
      <c r="T28" s="57">
        <f t="shared" si="7"/>
        <v>0</v>
      </c>
      <c r="U28" s="57">
        <f t="shared" si="7"/>
        <v>0</v>
      </c>
      <c r="V28" s="57">
        <f t="shared" si="7"/>
        <v>0</v>
      </c>
      <c r="W28" s="57">
        <f t="shared" si="7"/>
        <v>0</v>
      </c>
      <c r="X28" s="57"/>
      <c r="Y28" s="67">
        <f t="shared" si="1"/>
        <v>0</v>
      </c>
    </row>
    <row r="29" spans="1:25" ht="63" customHeight="1" x14ac:dyDescent="0.3">
      <c r="A29" s="1"/>
      <c r="B29" s="2" t="s">
        <v>67</v>
      </c>
      <c r="C29" s="33"/>
      <c r="D29" s="33">
        <v>9900000</v>
      </c>
      <c r="E29" s="41">
        <v>9900000</v>
      </c>
      <c r="F29" s="33"/>
      <c r="G29" s="34"/>
      <c r="H29" s="34">
        <v>1</v>
      </c>
      <c r="I29" s="33">
        <f>E29</f>
        <v>9900000</v>
      </c>
      <c r="J29" s="34">
        <v>1</v>
      </c>
      <c r="K29" s="34">
        <v>5</v>
      </c>
      <c r="L29" s="2" t="s">
        <v>149</v>
      </c>
      <c r="M29" s="60"/>
      <c r="N29" s="60"/>
      <c r="O29" s="60"/>
      <c r="P29" s="60"/>
      <c r="Q29" s="60"/>
      <c r="R29" s="60"/>
      <c r="S29" s="60"/>
      <c r="T29" s="60"/>
      <c r="U29" s="61"/>
      <c r="V29" s="61"/>
      <c r="W29" s="60"/>
      <c r="X29" s="60"/>
      <c r="Y29" s="67">
        <f t="shared" si="1"/>
        <v>0</v>
      </c>
    </row>
    <row r="30" spans="1:25" ht="56.25" x14ac:dyDescent="0.3">
      <c r="A30" s="1"/>
      <c r="B30" s="2" t="s">
        <v>68</v>
      </c>
      <c r="C30" s="33"/>
      <c r="D30" s="33">
        <v>9950000</v>
      </c>
      <c r="E30" s="41">
        <v>9950000</v>
      </c>
      <c r="F30" s="33"/>
      <c r="G30" s="34"/>
      <c r="H30" s="34">
        <v>1</v>
      </c>
      <c r="I30" s="33">
        <f>E30</f>
        <v>9950000</v>
      </c>
      <c r="J30" s="34">
        <v>1</v>
      </c>
      <c r="K30" s="34">
        <v>5</v>
      </c>
      <c r="L30" s="2" t="s">
        <v>149</v>
      </c>
      <c r="M30" s="60"/>
      <c r="N30" s="60"/>
      <c r="O30" s="60"/>
      <c r="P30" s="60"/>
      <c r="Q30" s="60"/>
      <c r="R30" s="60"/>
      <c r="S30" s="60"/>
      <c r="T30" s="60"/>
      <c r="U30" s="61"/>
      <c r="V30" s="61"/>
      <c r="W30" s="60"/>
      <c r="X30" s="60"/>
      <c r="Y30" s="67">
        <f t="shared" si="1"/>
        <v>0</v>
      </c>
    </row>
    <row r="31" spans="1:25" ht="45" customHeight="1" x14ac:dyDescent="0.3">
      <c r="A31" s="35"/>
      <c r="B31" s="2" t="s">
        <v>69</v>
      </c>
      <c r="C31" s="33"/>
      <c r="D31" s="33">
        <v>9900000</v>
      </c>
      <c r="E31" s="41">
        <v>9900000</v>
      </c>
      <c r="F31" s="37"/>
      <c r="G31" s="38"/>
      <c r="H31" s="38">
        <v>1</v>
      </c>
      <c r="I31" s="33">
        <f>E31</f>
        <v>9900000</v>
      </c>
      <c r="J31" s="34">
        <v>1</v>
      </c>
      <c r="K31" s="34">
        <v>5</v>
      </c>
      <c r="L31" s="2" t="s">
        <v>149</v>
      </c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7">
        <f t="shared" si="1"/>
        <v>0</v>
      </c>
    </row>
    <row r="32" spans="1:25" ht="37.5" x14ac:dyDescent="0.3">
      <c r="A32" s="1"/>
      <c r="B32" s="2" t="s">
        <v>70</v>
      </c>
      <c r="C32" s="33"/>
      <c r="D32" s="33">
        <v>5956000</v>
      </c>
      <c r="E32" s="41">
        <v>5956000</v>
      </c>
      <c r="F32" s="33"/>
      <c r="G32" s="34"/>
      <c r="H32" s="34">
        <v>1</v>
      </c>
      <c r="I32" s="33">
        <f>E32</f>
        <v>5956000</v>
      </c>
      <c r="J32" s="34">
        <v>1</v>
      </c>
      <c r="K32" s="34">
        <v>5</v>
      </c>
      <c r="L32" s="2" t="s">
        <v>149</v>
      </c>
      <c r="M32" s="60"/>
      <c r="N32" s="60"/>
      <c r="O32" s="60"/>
      <c r="P32" s="60"/>
      <c r="Q32" s="60"/>
      <c r="R32" s="60"/>
      <c r="S32" s="60"/>
      <c r="T32" s="60"/>
      <c r="U32" s="61"/>
      <c r="V32" s="61"/>
      <c r="W32" s="60"/>
      <c r="X32" s="60"/>
      <c r="Y32" s="67">
        <f t="shared" si="1"/>
        <v>0</v>
      </c>
    </row>
    <row r="33" spans="1:25" ht="72" customHeight="1" x14ac:dyDescent="0.3">
      <c r="A33" s="45">
        <v>7</v>
      </c>
      <c r="B33" s="46" t="s">
        <v>137</v>
      </c>
      <c r="C33" s="47">
        <f>SUM(C34:C83)</f>
        <v>0</v>
      </c>
      <c r="D33" s="47">
        <f>SUM(D34:D83)</f>
        <v>252203600</v>
      </c>
      <c r="E33" s="47">
        <f>SUM(E34:E83)</f>
        <v>252203600</v>
      </c>
      <c r="F33" s="47">
        <f>SUM(F34:F83)</f>
        <v>0</v>
      </c>
      <c r="G33" s="48"/>
      <c r="H33" s="57">
        <f>SUM(H34:H83)</f>
        <v>50</v>
      </c>
      <c r="I33" s="57">
        <f t="shared" ref="I33:W33" si="8">SUM(I34:I83)</f>
        <v>244386600</v>
      </c>
      <c r="J33" s="57"/>
      <c r="K33" s="57"/>
      <c r="L33" s="57">
        <f t="shared" si="8"/>
        <v>0</v>
      </c>
      <c r="M33" s="57">
        <f t="shared" si="8"/>
        <v>0</v>
      </c>
      <c r="N33" s="57">
        <f t="shared" si="8"/>
        <v>0</v>
      </c>
      <c r="O33" s="57">
        <f t="shared" si="8"/>
        <v>7295000</v>
      </c>
      <c r="P33" s="57">
        <f t="shared" si="8"/>
        <v>0</v>
      </c>
      <c r="Q33" s="57">
        <f t="shared" si="8"/>
        <v>0</v>
      </c>
      <c r="R33" s="57">
        <f t="shared" si="8"/>
        <v>0</v>
      </c>
      <c r="S33" s="57">
        <f t="shared" si="8"/>
        <v>0</v>
      </c>
      <c r="T33" s="57">
        <f t="shared" si="8"/>
        <v>0</v>
      </c>
      <c r="U33" s="57">
        <f t="shared" si="8"/>
        <v>0</v>
      </c>
      <c r="V33" s="57">
        <f t="shared" si="8"/>
        <v>0</v>
      </c>
      <c r="W33" s="57">
        <f t="shared" si="8"/>
        <v>522000</v>
      </c>
      <c r="X33" s="63"/>
      <c r="Y33" s="67">
        <f t="shared" si="1"/>
        <v>0</v>
      </c>
    </row>
    <row r="34" spans="1:25" ht="93.75" x14ac:dyDescent="0.3">
      <c r="A34" s="1"/>
      <c r="B34" s="2" t="s">
        <v>71</v>
      </c>
      <c r="C34" s="33"/>
      <c r="D34" s="33">
        <v>11500000</v>
      </c>
      <c r="E34" s="41">
        <v>11500000</v>
      </c>
      <c r="F34" s="33"/>
      <c r="G34" s="34"/>
      <c r="H34" s="34">
        <v>1</v>
      </c>
      <c r="I34" s="33">
        <f t="shared" ref="I34:I51" si="9">E34</f>
        <v>11500000</v>
      </c>
      <c r="J34" s="34">
        <v>2</v>
      </c>
      <c r="K34" s="34">
        <v>5</v>
      </c>
      <c r="L34" s="2" t="s">
        <v>151</v>
      </c>
      <c r="M34" s="60"/>
      <c r="N34" s="60"/>
      <c r="O34" s="60"/>
      <c r="P34" s="60"/>
      <c r="Q34" s="60"/>
      <c r="R34" s="60"/>
      <c r="S34" s="60"/>
      <c r="T34" s="60"/>
      <c r="U34" s="61"/>
      <c r="V34" s="61"/>
      <c r="W34" s="60"/>
      <c r="X34" s="60"/>
      <c r="Y34" s="67">
        <f t="shared" si="1"/>
        <v>0</v>
      </c>
    </row>
    <row r="35" spans="1:25" ht="67.5" customHeight="1" x14ac:dyDescent="0.3">
      <c r="A35" s="1"/>
      <c r="B35" s="2" t="s">
        <v>72</v>
      </c>
      <c r="C35" s="33"/>
      <c r="D35" s="33">
        <v>8290000</v>
      </c>
      <c r="E35" s="41">
        <v>8290000</v>
      </c>
      <c r="F35" s="33"/>
      <c r="G35" s="34"/>
      <c r="H35" s="34">
        <v>1</v>
      </c>
      <c r="I35" s="33">
        <f t="shared" si="9"/>
        <v>8290000</v>
      </c>
      <c r="J35" s="34">
        <v>2</v>
      </c>
      <c r="K35" s="34">
        <v>5</v>
      </c>
      <c r="L35" s="2" t="s">
        <v>151</v>
      </c>
      <c r="M35" s="60"/>
      <c r="N35" s="60"/>
      <c r="O35" s="60"/>
      <c r="P35" s="60"/>
      <c r="Q35" s="60"/>
      <c r="R35" s="60"/>
      <c r="S35" s="60"/>
      <c r="T35" s="60"/>
      <c r="U35" s="61"/>
      <c r="V35" s="61"/>
      <c r="W35" s="60"/>
      <c r="X35" s="60"/>
      <c r="Y35" s="67">
        <f t="shared" si="1"/>
        <v>0</v>
      </c>
    </row>
    <row r="36" spans="1:25" ht="87" customHeight="1" x14ac:dyDescent="0.3">
      <c r="A36" s="35"/>
      <c r="B36" s="2" t="s">
        <v>73</v>
      </c>
      <c r="C36" s="33"/>
      <c r="D36" s="33">
        <v>2400000</v>
      </c>
      <c r="E36" s="41">
        <v>2400000</v>
      </c>
      <c r="F36" s="37"/>
      <c r="G36" s="38"/>
      <c r="H36" s="34">
        <v>1</v>
      </c>
      <c r="I36" s="37">
        <f t="shared" si="9"/>
        <v>2400000</v>
      </c>
      <c r="J36" s="38">
        <v>2</v>
      </c>
      <c r="K36" s="38">
        <v>5</v>
      </c>
      <c r="L36" s="2" t="s">
        <v>151</v>
      </c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7">
        <f t="shared" si="1"/>
        <v>0</v>
      </c>
    </row>
    <row r="37" spans="1:25" ht="88.5" customHeight="1" x14ac:dyDescent="0.3">
      <c r="A37" s="1"/>
      <c r="B37" s="2" t="s">
        <v>74</v>
      </c>
      <c r="C37" s="33"/>
      <c r="D37" s="33">
        <v>8886000</v>
      </c>
      <c r="E37" s="41">
        <v>8886000</v>
      </c>
      <c r="F37" s="33"/>
      <c r="G37" s="34"/>
      <c r="H37" s="34">
        <v>1</v>
      </c>
      <c r="I37" s="33">
        <f t="shared" si="9"/>
        <v>8886000</v>
      </c>
      <c r="J37" s="34">
        <v>2</v>
      </c>
      <c r="K37" s="34">
        <v>5</v>
      </c>
      <c r="L37" s="2" t="s">
        <v>150</v>
      </c>
      <c r="M37" s="60"/>
      <c r="N37" s="60"/>
      <c r="O37" s="60"/>
      <c r="P37" s="60"/>
      <c r="Q37" s="60"/>
      <c r="R37" s="60"/>
      <c r="S37" s="60"/>
      <c r="T37" s="60"/>
      <c r="U37" s="61"/>
      <c r="V37" s="61"/>
      <c r="W37" s="60"/>
      <c r="X37" s="60"/>
      <c r="Y37" s="67">
        <f t="shared" si="1"/>
        <v>0</v>
      </c>
    </row>
    <row r="38" spans="1:25" ht="75" x14ac:dyDescent="0.3">
      <c r="A38" s="1"/>
      <c r="B38" s="2" t="s">
        <v>75</v>
      </c>
      <c r="C38" s="33"/>
      <c r="D38" s="33">
        <v>5751000</v>
      </c>
      <c r="E38" s="41">
        <v>5751000</v>
      </c>
      <c r="F38" s="33"/>
      <c r="G38" s="34"/>
      <c r="H38" s="34">
        <v>1</v>
      </c>
      <c r="I38" s="33">
        <f t="shared" si="9"/>
        <v>5751000</v>
      </c>
      <c r="J38" s="34">
        <v>1</v>
      </c>
      <c r="K38" s="34">
        <v>5</v>
      </c>
      <c r="L38" s="2" t="s">
        <v>149</v>
      </c>
      <c r="M38" s="60"/>
      <c r="N38" s="60"/>
      <c r="O38" s="60"/>
      <c r="P38" s="60"/>
      <c r="Q38" s="60"/>
      <c r="R38" s="60"/>
      <c r="S38" s="60"/>
      <c r="T38" s="60"/>
      <c r="U38" s="61"/>
      <c r="V38" s="61"/>
      <c r="W38" s="60"/>
      <c r="X38" s="60"/>
      <c r="Y38" s="67">
        <f t="shared" si="1"/>
        <v>0</v>
      </c>
    </row>
    <row r="39" spans="1:25" ht="87.75" customHeight="1" x14ac:dyDescent="0.3">
      <c r="A39" s="35"/>
      <c r="B39" s="2" t="s">
        <v>76</v>
      </c>
      <c r="C39" s="33"/>
      <c r="D39" s="33">
        <v>4091000</v>
      </c>
      <c r="E39" s="41">
        <v>4091000</v>
      </c>
      <c r="F39" s="37"/>
      <c r="G39" s="38"/>
      <c r="H39" s="34">
        <v>1</v>
      </c>
      <c r="I39" s="37">
        <f t="shared" si="9"/>
        <v>4091000</v>
      </c>
      <c r="J39" s="38">
        <v>1</v>
      </c>
      <c r="K39" s="38">
        <v>5</v>
      </c>
      <c r="L39" s="2" t="s">
        <v>149</v>
      </c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7">
        <f t="shared" si="1"/>
        <v>0</v>
      </c>
    </row>
    <row r="40" spans="1:25" ht="93.75" x14ac:dyDescent="0.3">
      <c r="A40" s="1"/>
      <c r="B40" s="2" t="s">
        <v>77</v>
      </c>
      <c r="C40" s="33"/>
      <c r="D40" s="33">
        <v>3400000</v>
      </c>
      <c r="E40" s="41">
        <v>3400000</v>
      </c>
      <c r="F40" s="33"/>
      <c r="G40" s="34"/>
      <c r="H40" s="34">
        <v>1</v>
      </c>
      <c r="I40" s="33">
        <f t="shared" si="9"/>
        <v>3400000</v>
      </c>
      <c r="J40" s="34">
        <v>1</v>
      </c>
      <c r="K40" s="34">
        <v>5</v>
      </c>
      <c r="L40" s="2" t="s">
        <v>149</v>
      </c>
      <c r="M40" s="60"/>
      <c r="N40" s="60"/>
      <c r="O40" s="60"/>
      <c r="P40" s="60"/>
      <c r="Q40" s="60"/>
      <c r="R40" s="60"/>
      <c r="S40" s="60"/>
      <c r="T40" s="60"/>
      <c r="U40" s="61"/>
      <c r="V40" s="61"/>
      <c r="W40" s="60"/>
      <c r="X40" s="60"/>
      <c r="Y40" s="67">
        <f t="shared" si="1"/>
        <v>0</v>
      </c>
    </row>
    <row r="41" spans="1:25" ht="64.5" customHeight="1" x14ac:dyDescent="0.3">
      <c r="A41" s="1"/>
      <c r="B41" s="2" t="s">
        <v>78</v>
      </c>
      <c r="C41" s="33"/>
      <c r="D41" s="33">
        <v>8400000</v>
      </c>
      <c r="E41" s="41">
        <v>8400000</v>
      </c>
      <c r="F41" s="33"/>
      <c r="G41" s="34"/>
      <c r="H41" s="34">
        <v>1</v>
      </c>
      <c r="I41" s="33">
        <f t="shared" si="9"/>
        <v>8400000</v>
      </c>
      <c r="J41" s="34">
        <v>1</v>
      </c>
      <c r="K41" s="34">
        <v>5</v>
      </c>
      <c r="L41" s="2" t="s">
        <v>164</v>
      </c>
      <c r="M41" s="60"/>
      <c r="N41" s="60"/>
      <c r="O41" s="60"/>
      <c r="P41" s="60"/>
      <c r="Q41" s="60"/>
      <c r="R41" s="60"/>
      <c r="S41" s="60"/>
      <c r="T41" s="60"/>
      <c r="U41" s="61"/>
      <c r="V41" s="61"/>
      <c r="W41" s="60"/>
      <c r="X41" s="60"/>
      <c r="Y41" s="67">
        <f t="shared" si="1"/>
        <v>0</v>
      </c>
    </row>
    <row r="42" spans="1:25" ht="56.25" x14ac:dyDescent="0.3">
      <c r="A42" s="1"/>
      <c r="B42" s="2" t="s">
        <v>79</v>
      </c>
      <c r="C42" s="33"/>
      <c r="D42" s="33">
        <v>5980000</v>
      </c>
      <c r="E42" s="41">
        <v>5980000</v>
      </c>
      <c r="F42" s="33"/>
      <c r="G42" s="34"/>
      <c r="H42" s="34">
        <v>1</v>
      </c>
      <c r="I42" s="33">
        <f t="shared" si="9"/>
        <v>5980000</v>
      </c>
      <c r="J42" s="34">
        <v>1</v>
      </c>
      <c r="K42" s="34">
        <v>5</v>
      </c>
      <c r="L42" s="2" t="s">
        <v>149</v>
      </c>
      <c r="M42" s="60"/>
      <c r="N42" s="60"/>
      <c r="O42" s="60"/>
      <c r="P42" s="60"/>
      <c r="Q42" s="60"/>
      <c r="R42" s="60"/>
      <c r="S42" s="60"/>
      <c r="T42" s="60"/>
      <c r="U42" s="61"/>
      <c r="V42" s="61"/>
      <c r="W42" s="60"/>
      <c r="X42" s="60"/>
      <c r="Y42" s="67">
        <f t="shared" si="1"/>
        <v>0</v>
      </c>
    </row>
    <row r="43" spans="1:25" ht="66.75" customHeight="1" x14ac:dyDescent="0.3">
      <c r="A43" s="35"/>
      <c r="B43" s="2" t="s">
        <v>80</v>
      </c>
      <c r="C43" s="33"/>
      <c r="D43" s="33">
        <v>5000000</v>
      </c>
      <c r="E43" s="41">
        <v>5000000</v>
      </c>
      <c r="F43" s="37"/>
      <c r="G43" s="38"/>
      <c r="H43" s="34">
        <v>1</v>
      </c>
      <c r="I43" s="33">
        <f t="shared" si="9"/>
        <v>5000000</v>
      </c>
      <c r="J43" s="34">
        <v>1</v>
      </c>
      <c r="K43" s="34">
        <v>5</v>
      </c>
      <c r="L43" s="2" t="s">
        <v>149</v>
      </c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7">
        <f t="shared" si="1"/>
        <v>0</v>
      </c>
    </row>
    <row r="44" spans="1:25" ht="66.75" customHeight="1" x14ac:dyDescent="0.3">
      <c r="A44" s="1"/>
      <c r="B44" s="2" t="s">
        <v>81</v>
      </c>
      <c r="C44" s="33"/>
      <c r="D44" s="33">
        <v>1999800</v>
      </c>
      <c r="E44" s="41">
        <v>1999800</v>
      </c>
      <c r="F44" s="33"/>
      <c r="G44" s="34"/>
      <c r="H44" s="34">
        <v>1</v>
      </c>
      <c r="I44" s="33">
        <f t="shared" si="9"/>
        <v>1999800</v>
      </c>
      <c r="J44" s="34">
        <v>1</v>
      </c>
      <c r="K44" s="34">
        <v>5</v>
      </c>
      <c r="L44" s="2" t="s">
        <v>149</v>
      </c>
      <c r="M44" s="60"/>
      <c r="N44" s="60"/>
      <c r="O44" s="60"/>
      <c r="P44" s="60"/>
      <c r="Q44" s="60"/>
      <c r="R44" s="60"/>
      <c r="S44" s="60"/>
      <c r="T44" s="60"/>
      <c r="U44" s="61"/>
      <c r="V44" s="61"/>
      <c r="W44" s="60"/>
      <c r="X44" s="60"/>
      <c r="Y44" s="67">
        <f t="shared" si="1"/>
        <v>0</v>
      </c>
    </row>
    <row r="45" spans="1:25" ht="56.25" x14ac:dyDescent="0.3">
      <c r="A45" s="1"/>
      <c r="B45" s="2" t="s">
        <v>82</v>
      </c>
      <c r="C45" s="33"/>
      <c r="D45" s="33">
        <v>1984800</v>
      </c>
      <c r="E45" s="41">
        <v>1984800</v>
      </c>
      <c r="F45" s="33"/>
      <c r="G45" s="34"/>
      <c r="H45" s="34">
        <v>1</v>
      </c>
      <c r="I45" s="33">
        <f t="shared" si="9"/>
        <v>1984800</v>
      </c>
      <c r="J45" s="34">
        <v>1</v>
      </c>
      <c r="K45" s="34">
        <v>5</v>
      </c>
      <c r="L45" s="2" t="s">
        <v>149</v>
      </c>
      <c r="M45" s="60"/>
      <c r="N45" s="60"/>
      <c r="O45" s="60"/>
      <c r="P45" s="60"/>
      <c r="Q45" s="60"/>
      <c r="R45" s="60"/>
      <c r="S45" s="60"/>
      <c r="T45" s="60"/>
      <c r="U45" s="61"/>
      <c r="V45" s="61"/>
      <c r="W45" s="60"/>
      <c r="X45" s="60"/>
      <c r="Y45" s="67">
        <f t="shared" si="1"/>
        <v>0</v>
      </c>
    </row>
    <row r="46" spans="1:25" ht="65.25" customHeight="1" x14ac:dyDescent="0.3">
      <c r="A46" s="35"/>
      <c r="B46" s="2" t="s">
        <v>83</v>
      </c>
      <c r="C46" s="33"/>
      <c r="D46" s="33">
        <v>1992000</v>
      </c>
      <c r="E46" s="41">
        <v>1992000</v>
      </c>
      <c r="F46" s="37"/>
      <c r="G46" s="38"/>
      <c r="H46" s="34">
        <v>1</v>
      </c>
      <c r="I46" s="33">
        <f t="shared" si="9"/>
        <v>1992000</v>
      </c>
      <c r="J46" s="38">
        <v>2</v>
      </c>
      <c r="K46" s="38">
        <v>5</v>
      </c>
      <c r="L46" s="2" t="s">
        <v>159</v>
      </c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7">
        <f t="shared" si="1"/>
        <v>0</v>
      </c>
    </row>
    <row r="47" spans="1:25" ht="56.25" x14ac:dyDescent="0.3">
      <c r="A47" s="1"/>
      <c r="B47" s="2" t="s">
        <v>84</v>
      </c>
      <c r="C47" s="33"/>
      <c r="D47" s="33">
        <v>1965000</v>
      </c>
      <c r="E47" s="41">
        <v>1965000</v>
      </c>
      <c r="F47" s="33"/>
      <c r="G47" s="34"/>
      <c r="H47" s="34">
        <v>1</v>
      </c>
      <c r="I47" s="33">
        <f t="shared" si="9"/>
        <v>1965000</v>
      </c>
      <c r="J47" s="34">
        <v>2</v>
      </c>
      <c r="K47" s="34">
        <v>5</v>
      </c>
      <c r="L47" s="2" t="s">
        <v>159</v>
      </c>
      <c r="M47" s="60"/>
      <c r="N47" s="60"/>
      <c r="O47" s="60"/>
      <c r="P47" s="60"/>
      <c r="Q47" s="60"/>
      <c r="R47" s="60"/>
      <c r="S47" s="60"/>
      <c r="T47" s="60"/>
      <c r="U47" s="61"/>
      <c r="V47" s="61"/>
      <c r="W47" s="60"/>
      <c r="X47" s="60"/>
      <c r="Y47" s="67">
        <f t="shared" si="1"/>
        <v>0</v>
      </c>
    </row>
    <row r="48" spans="1:25" ht="68.25" customHeight="1" x14ac:dyDescent="0.3">
      <c r="A48" s="1"/>
      <c r="B48" s="2" t="s">
        <v>85</v>
      </c>
      <c r="C48" s="33"/>
      <c r="D48" s="33">
        <v>1262000</v>
      </c>
      <c r="E48" s="41">
        <v>1262000</v>
      </c>
      <c r="F48" s="33"/>
      <c r="G48" s="34"/>
      <c r="H48" s="34">
        <v>1</v>
      </c>
      <c r="I48" s="33">
        <f t="shared" si="9"/>
        <v>1262000</v>
      </c>
      <c r="J48" s="34">
        <v>2</v>
      </c>
      <c r="K48" s="34">
        <v>5</v>
      </c>
      <c r="L48" s="2" t="s">
        <v>159</v>
      </c>
      <c r="M48" s="60"/>
      <c r="N48" s="60"/>
      <c r="O48" s="60"/>
      <c r="P48" s="60"/>
      <c r="Q48" s="60"/>
      <c r="R48" s="60"/>
      <c r="S48" s="60"/>
      <c r="T48" s="60"/>
      <c r="U48" s="61"/>
      <c r="V48" s="61"/>
      <c r="W48" s="60"/>
      <c r="X48" s="60"/>
      <c r="Y48" s="67">
        <f t="shared" si="1"/>
        <v>0</v>
      </c>
    </row>
    <row r="49" spans="1:25" ht="56.25" x14ac:dyDescent="0.3">
      <c r="A49" s="1"/>
      <c r="B49" s="2" t="s">
        <v>86</v>
      </c>
      <c r="C49" s="33"/>
      <c r="D49" s="33">
        <v>14186000</v>
      </c>
      <c r="E49" s="41">
        <v>14186000</v>
      </c>
      <c r="F49" s="33"/>
      <c r="G49" s="34"/>
      <c r="H49" s="34">
        <v>1</v>
      </c>
      <c r="I49" s="33">
        <f t="shared" si="9"/>
        <v>14186000</v>
      </c>
      <c r="J49" s="34">
        <v>1</v>
      </c>
      <c r="K49" s="34">
        <v>5</v>
      </c>
      <c r="L49" s="2" t="s">
        <v>149</v>
      </c>
      <c r="M49" s="60"/>
      <c r="N49" s="60"/>
      <c r="O49" s="60"/>
      <c r="P49" s="60"/>
      <c r="Q49" s="60"/>
      <c r="R49" s="60"/>
      <c r="S49" s="60"/>
      <c r="T49" s="60"/>
      <c r="U49" s="61"/>
      <c r="V49" s="61"/>
      <c r="W49" s="60"/>
      <c r="X49" s="60"/>
      <c r="Y49" s="67">
        <f t="shared" si="1"/>
        <v>0</v>
      </c>
    </row>
    <row r="50" spans="1:25" ht="72" customHeight="1" x14ac:dyDescent="0.3">
      <c r="A50" s="35"/>
      <c r="B50" s="2" t="s">
        <v>87</v>
      </c>
      <c r="C50" s="33"/>
      <c r="D50" s="33">
        <v>6964000</v>
      </c>
      <c r="E50" s="41">
        <v>6964000</v>
      </c>
      <c r="F50" s="37"/>
      <c r="G50" s="38"/>
      <c r="H50" s="34">
        <v>1</v>
      </c>
      <c r="I50" s="33">
        <f t="shared" si="9"/>
        <v>6964000</v>
      </c>
      <c r="J50" s="38">
        <v>1</v>
      </c>
      <c r="K50" s="38">
        <v>5</v>
      </c>
      <c r="L50" s="2" t="s">
        <v>149</v>
      </c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7">
        <f t="shared" si="1"/>
        <v>0</v>
      </c>
    </row>
    <row r="51" spans="1:25" ht="72" customHeight="1" x14ac:dyDescent="0.3">
      <c r="A51" s="1"/>
      <c r="B51" s="2" t="s">
        <v>88</v>
      </c>
      <c r="C51" s="33"/>
      <c r="D51" s="33">
        <v>4504000</v>
      </c>
      <c r="E51" s="41">
        <v>4504000</v>
      </c>
      <c r="F51" s="33"/>
      <c r="G51" s="34"/>
      <c r="H51" s="34">
        <v>1</v>
      </c>
      <c r="I51" s="33">
        <f t="shared" si="9"/>
        <v>4504000</v>
      </c>
      <c r="J51" s="34">
        <v>2</v>
      </c>
      <c r="K51" s="34">
        <v>2</v>
      </c>
      <c r="L51" s="2" t="s">
        <v>160</v>
      </c>
      <c r="M51" s="60"/>
      <c r="N51" s="60"/>
      <c r="O51" s="60"/>
      <c r="P51" s="60"/>
      <c r="Q51" s="60"/>
      <c r="R51" s="60"/>
      <c r="S51" s="60"/>
      <c r="T51" s="60"/>
      <c r="U51" s="61"/>
      <c r="V51" s="61"/>
      <c r="W51" s="60"/>
      <c r="X51" s="60"/>
      <c r="Y51" s="67">
        <f t="shared" si="1"/>
        <v>0</v>
      </c>
    </row>
    <row r="52" spans="1:25" ht="75" x14ac:dyDescent="0.3">
      <c r="A52" s="1"/>
      <c r="B52" s="2" t="s">
        <v>89</v>
      </c>
      <c r="C52" s="33"/>
      <c r="D52" s="33">
        <v>8749000</v>
      </c>
      <c r="E52" s="41">
        <v>8749000</v>
      </c>
      <c r="F52" s="33"/>
      <c r="G52" s="34"/>
      <c r="H52" s="34">
        <v>1</v>
      </c>
      <c r="I52" s="33">
        <f>E52</f>
        <v>8749000</v>
      </c>
      <c r="J52" s="34">
        <v>1</v>
      </c>
      <c r="K52" s="34">
        <v>5</v>
      </c>
      <c r="L52" s="2" t="s">
        <v>149</v>
      </c>
      <c r="M52" s="60"/>
      <c r="N52" s="60"/>
      <c r="O52" s="60"/>
      <c r="P52" s="60"/>
      <c r="Q52" s="60"/>
      <c r="R52" s="60"/>
      <c r="S52" s="60"/>
      <c r="T52" s="60"/>
      <c r="U52" s="61"/>
      <c r="V52" s="61"/>
      <c r="W52" s="60"/>
      <c r="X52" s="60"/>
      <c r="Y52" s="67">
        <f t="shared" si="1"/>
        <v>0</v>
      </c>
    </row>
    <row r="53" spans="1:25" ht="92.25" customHeight="1" x14ac:dyDescent="0.3">
      <c r="A53" s="35"/>
      <c r="B53" s="2" t="s">
        <v>90</v>
      </c>
      <c r="C53" s="33"/>
      <c r="D53" s="33">
        <v>3080000</v>
      </c>
      <c r="E53" s="41">
        <v>3080000</v>
      </c>
      <c r="F53" s="37"/>
      <c r="G53" s="38"/>
      <c r="H53" s="34">
        <v>1</v>
      </c>
      <c r="I53" s="37">
        <f>E53</f>
        <v>3080000</v>
      </c>
      <c r="J53" s="38">
        <v>1</v>
      </c>
      <c r="K53" s="38">
        <v>5</v>
      </c>
      <c r="L53" s="2" t="s">
        <v>155</v>
      </c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7">
        <f t="shared" si="1"/>
        <v>0</v>
      </c>
    </row>
    <row r="54" spans="1:25" ht="56.25" x14ac:dyDescent="0.3">
      <c r="A54" s="1"/>
      <c r="B54" s="2" t="s">
        <v>91</v>
      </c>
      <c r="C54" s="33"/>
      <c r="D54" s="33">
        <v>1827000</v>
      </c>
      <c r="E54" s="41">
        <v>1827000</v>
      </c>
      <c r="F54" s="33"/>
      <c r="G54" s="34"/>
      <c r="H54" s="34">
        <v>1</v>
      </c>
      <c r="I54" s="33"/>
      <c r="J54" s="34" t="s">
        <v>4</v>
      </c>
      <c r="K54" s="34"/>
      <c r="L54" s="2" t="s">
        <v>156</v>
      </c>
      <c r="M54" s="60"/>
      <c r="N54" s="60"/>
      <c r="O54" s="60">
        <v>1820000</v>
      </c>
      <c r="P54" s="60"/>
      <c r="Q54" s="60"/>
      <c r="R54" s="60"/>
      <c r="S54" s="60"/>
      <c r="T54" s="60"/>
      <c r="U54" s="61"/>
      <c r="V54" s="61"/>
      <c r="W54" s="60">
        <f>E54-O54</f>
        <v>7000</v>
      </c>
      <c r="X54" s="60"/>
      <c r="Y54" s="67">
        <f t="shared" si="1"/>
        <v>0</v>
      </c>
    </row>
    <row r="55" spans="1:25" ht="94.5" customHeight="1" x14ac:dyDescent="0.3">
      <c r="A55" s="1"/>
      <c r="B55" s="2" t="s">
        <v>92</v>
      </c>
      <c r="C55" s="33"/>
      <c r="D55" s="33">
        <v>1674000</v>
      </c>
      <c r="E55" s="41">
        <v>1674000</v>
      </c>
      <c r="F55" s="33"/>
      <c r="G55" s="34"/>
      <c r="H55" s="34">
        <v>1</v>
      </c>
      <c r="I55" s="33"/>
      <c r="J55" s="34" t="s">
        <v>4</v>
      </c>
      <c r="K55" s="34"/>
      <c r="L55" s="2" t="s">
        <v>156</v>
      </c>
      <c r="M55" s="60"/>
      <c r="N55" s="60"/>
      <c r="O55" s="60">
        <v>1669000</v>
      </c>
      <c r="P55" s="60"/>
      <c r="Q55" s="60"/>
      <c r="R55" s="60"/>
      <c r="S55" s="60"/>
      <c r="T55" s="60"/>
      <c r="U55" s="61"/>
      <c r="V55" s="61"/>
      <c r="W55" s="60">
        <f>E55-O55</f>
        <v>5000</v>
      </c>
      <c r="X55" s="60"/>
      <c r="Y55" s="67">
        <f t="shared" si="1"/>
        <v>0</v>
      </c>
    </row>
    <row r="56" spans="1:25" ht="56.25" x14ac:dyDescent="0.3">
      <c r="A56" s="1"/>
      <c r="B56" s="2" t="s">
        <v>93</v>
      </c>
      <c r="C56" s="33"/>
      <c r="D56" s="33">
        <v>14223000</v>
      </c>
      <c r="E56" s="41">
        <v>14223000</v>
      </c>
      <c r="F56" s="33"/>
      <c r="G56" s="34"/>
      <c r="H56" s="34">
        <v>1</v>
      </c>
      <c r="I56" s="33">
        <f>E56</f>
        <v>14223000</v>
      </c>
      <c r="J56" s="34">
        <v>2</v>
      </c>
      <c r="K56" s="34">
        <v>5</v>
      </c>
      <c r="L56" s="2" t="s">
        <v>150</v>
      </c>
      <c r="M56" s="60"/>
      <c r="N56" s="60"/>
      <c r="O56" s="60"/>
      <c r="P56" s="60"/>
      <c r="Q56" s="60"/>
      <c r="R56" s="60"/>
      <c r="S56" s="60"/>
      <c r="T56" s="60"/>
      <c r="U56" s="61"/>
      <c r="V56" s="61"/>
      <c r="W56" s="60"/>
      <c r="X56" s="60"/>
      <c r="Y56" s="67">
        <f t="shared" si="1"/>
        <v>0</v>
      </c>
    </row>
    <row r="57" spans="1:25" ht="87.75" customHeight="1" x14ac:dyDescent="0.3">
      <c r="A57" s="35"/>
      <c r="B57" s="2" t="s">
        <v>94</v>
      </c>
      <c r="C57" s="33"/>
      <c r="D57" s="33">
        <v>2681000</v>
      </c>
      <c r="E57" s="41">
        <v>2681000</v>
      </c>
      <c r="F57" s="37"/>
      <c r="G57" s="38"/>
      <c r="H57" s="34">
        <v>1</v>
      </c>
      <c r="I57" s="37"/>
      <c r="J57" s="34" t="s">
        <v>4</v>
      </c>
      <c r="K57" s="38"/>
      <c r="L57" s="2" t="s">
        <v>156</v>
      </c>
      <c r="M57" s="62"/>
      <c r="N57" s="62"/>
      <c r="O57" s="62">
        <v>2476000</v>
      </c>
      <c r="P57" s="62"/>
      <c r="Q57" s="62"/>
      <c r="R57" s="62"/>
      <c r="S57" s="62"/>
      <c r="T57" s="62"/>
      <c r="U57" s="62"/>
      <c r="V57" s="62"/>
      <c r="W57" s="62">
        <f>E57-O57</f>
        <v>205000</v>
      </c>
      <c r="X57" s="62"/>
      <c r="Y57" s="67">
        <f t="shared" si="1"/>
        <v>0</v>
      </c>
    </row>
    <row r="58" spans="1:25" ht="72.75" customHeight="1" x14ac:dyDescent="0.3">
      <c r="A58" s="1"/>
      <c r="B58" s="2" t="s">
        <v>141</v>
      </c>
      <c r="C58" s="33"/>
      <c r="D58" s="33">
        <v>1635000</v>
      </c>
      <c r="E58" s="41">
        <v>1635000</v>
      </c>
      <c r="F58" s="33"/>
      <c r="G58" s="34"/>
      <c r="H58" s="34">
        <v>1</v>
      </c>
      <c r="I58" s="33"/>
      <c r="J58" s="34" t="s">
        <v>4</v>
      </c>
      <c r="K58" s="34"/>
      <c r="L58" s="2" t="s">
        <v>156</v>
      </c>
      <c r="M58" s="60"/>
      <c r="N58" s="60"/>
      <c r="O58" s="60">
        <v>1330000</v>
      </c>
      <c r="P58" s="60"/>
      <c r="Q58" s="60"/>
      <c r="R58" s="60"/>
      <c r="S58" s="60"/>
      <c r="T58" s="60"/>
      <c r="U58" s="61"/>
      <c r="V58" s="61"/>
      <c r="W58" s="60">
        <f>E58-O58</f>
        <v>305000</v>
      </c>
      <c r="X58" s="60"/>
      <c r="Y58" s="67">
        <f t="shared" si="1"/>
        <v>0</v>
      </c>
    </row>
    <row r="59" spans="1:25" ht="93.75" x14ac:dyDescent="0.3">
      <c r="A59" s="1"/>
      <c r="B59" s="2" t="s">
        <v>140</v>
      </c>
      <c r="C59" s="33"/>
      <c r="D59" s="33">
        <v>1310000</v>
      </c>
      <c r="E59" s="41">
        <v>1310000</v>
      </c>
      <c r="F59" s="33"/>
      <c r="G59" s="34"/>
      <c r="H59" s="34">
        <v>1</v>
      </c>
      <c r="I59" s="33">
        <f t="shared" ref="I59:I82" si="10">E59</f>
        <v>1310000</v>
      </c>
      <c r="J59" s="34">
        <v>1</v>
      </c>
      <c r="K59" s="34">
        <v>5</v>
      </c>
      <c r="L59" s="2" t="s">
        <v>155</v>
      </c>
      <c r="M59" s="60"/>
      <c r="N59" s="60"/>
      <c r="O59" s="60"/>
      <c r="P59" s="60"/>
      <c r="Q59" s="60"/>
      <c r="R59" s="60"/>
      <c r="S59" s="60"/>
      <c r="T59" s="60"/>
      <c r="U59" s="61"/>
      <c r="V59" s="61"/>
      <c r="W59" s="60"/>
      <c r="X59" s="60"/>
      <c r="Y59" s="67">
        <f t="shared" si="1"/>
        <v>0</v>
      </c>
    </row>
    <row r="60" spans="1:25" ht="93.75" customHeight="1" x14ac:dyDescent="0.3">
      <c r="A60" s="35"/>
      <c r="B60" s="2" t="s">
        <v>95</v>
      </c>
      <c r="C60" s="33"/>
      <c r="D60" s="33">
        <v>4549000</v>
      </c>
      <c r="E60" s="41">
        <v>4549000</v>
      </c>
      <c r="F60" s="37"/>
      <c r="G60" s="38"/>
      <c r="H60" s="34">
        <v>1</v>
      </c>
      <c r="I60" s="37">
        <f t="shared" si="10"/>
        <v>4549000</v>
      </c>
      <c r="J60" s="38">
        <v>1</v>
      </c>
      <c r="K60" s="38">
        <v>5</v>
      </c>
      <c r="L60" s="36" t="s">
        <v>159</v>
      </c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7">
        <f t="shared" si="1"/>
        <v>0</v>
      </c>
    </row>
    <row r="61" spans="1:25" ht="75" x14ac:dyDescent="0.3">
      <c r="A61" s="1"/>
      <c r="B61" s="2" t="s">
        <v>96</v>
      </c>
      <c r="C61" s="33"/>
      <c r="D61" s="33">
        <v>2160000</v>
      </c>
      <c r="E61" s="41">
        <v>2160000</v>
      </c>
      <c r="F61" s="33"/>
      <c r="G61" s="34"/>
      <c r="H61" s="34">
        <v>1</v>
      </c>
      <c r="I61" s="33">
        <f t="shared" si="10"/>
        <v>2160000</v>
      </c>
      <c r="J61" s="34">
        <v>1</v>
      </c>
      <c r="K61" s="34">
        <v>5</v>
      </c>
      <c r="L61" s="2" t="s">
        <v>150</v>
      </c>
      <c r="M61" s="60"/>
      <c r="N61" s="60"/>
      <c r="O61" s="60"/>
      <c r="P61" s="60"/>
      <c r="Q61" s="60"/>
      <c r="R61" s="60"/>
      <c r="S61" s="60"/>
      <c r="T61" s="60"/>
      <c r="U61" s="61"/>
      <c r="V61" s="61"/>
      <c r="W61" s="60"/>
      <c r="X61" s="60"/>
      <c r="Y61" s="67">
        <f t="shared" si="1"/>
        <v>0</v>
      </c>
    </row>
    <row r="62" spans="1:25" ht="114.75" customHeight="1" x14ac:dyDescent="0.3">
      <c r="A62" s="1"/>
      <c r="B62" s="2" t="s">
        <v>97</v>
      </c>
      <c r="C62" s="33"/>
      <c r="D62" s="33">
        <v>2167000</v>
      </c>
      <c r="E62" s="41">
        <v>2167000</v>
      </c>
      <c r="F62" s="33"/>
      <c r="G62" s="34"/>
      <c r="H62" s="34">
        <v>1</v>
      </c>
      <c r="I62" s="33">
        <f t="shared" si="10"/>
        <v>2167000</v>
      </c>
      <c r="J62" s="34">
        <v>2</v>
      </c>
      <c r="K62" s="34">
        <v>5</v>
      </c>
      <c r="L62" s="2" t="s">
        <v>160</v>
      </c>
      <c r="M62" s="60"/>
      <c r="N62" s="60"/>
      <c r="O62" s="60"/>
      <c r="P62" s="60"/>
      <c r="Q62" s="60"/>
      <c r="R62" s="60"/>
      <c r="S62" s="60"/>
      <c r="T62" s="60"/>
      <c r="U62" s="61"/>
      <c r="V62" s="61"/>
      <c r="W62" s="60"/>
      <c r="X62" s="60"/>
      <c r="Y62" s="67">
        <f t="shared" si="1"/>
        <v>0</v>
      </c>
    </row>
    <row r="63" spans="1:25" ht="75" x14ac:dyDescent="0.3">
      <c r="A63" s="1"/>
      <c r="B63" s="2" t="s">
        <v>98</v>
      </c>
      <c r="C63" s="33"/>
      <c r="D63" s="33">
        <v>1442000</v>
      </c>
      <c r="E63" s="41">
        <v>1442000</v>
      </c>
      <c r="F63" s="33"/>
      <c r="G63" s="34"/>
      <c r="H63" s="34">
        <v>1</v>
      </c>
      <c r="I63" s="33">
        <f t="shared" si="10"/>
        <v>1442000</v>
      </c>
      <c r="J63" s="34">
        <v>1</v>
      </c>
      <c r="K63" s="34">
        <v>5</v>
      </c>
      <c r="L63" s="2" t="s">
        <v>149</v>
      </c>
      <c r="M63" s="60"/>
      <c r="N63" s="60"/>
      <c r="O63" s="60"/>
      <c r="P63" s="60"/>
      <c r="Q63" s="60"/>
      <c r="R63" s="60"/>
      <c r="S63" s="60"/>
      <c r="T63" s="60"/>
      <c r="U63" s="61"/>
      <c r="V63" s="61"/>
      <c r="W63" s="60"/>
      <c r="X63" s="60"/>
      <c r="Y63" s="67">
        <f t="shared" si="1"/>
        <v>0</v>
      </c>
    </row>
    <row r="64" spans="1:25" ht="56.25" x14ac:dyDescent="0.3">
      <c r="A64" s="1"/>
      <c r="B64" s="2" t="s">
        <v>99</v>
      </c>
      <c r="C64" s="33"/>
      <c r="D64" s="33">
        <v>7012000</v>
      </c>
      <c r="E64" s="41">
        <v>7012000</v>
      </c>
      <c r="F64" s="33"/>
      <c r="G64" s="34"/>
      <c r="H64" s="34">
        <v>1</v>
      </c>
      <c r="I64" s="33">
        <f t="shared" si="10"/>
        <v>7012000</v>
      </c>
      <c r="J64" s="34">
        <v>2</v>
      </c>
      <c r="K64" s="34">
        <v>5</v>
      </c>
      <c r="L64" s="2" t="s">
        <v>159</v>
      </c>
      <c r="M64" s="60"/>
      <c r="N64" s="60"/>
      <c r="O64" s="60"/>
      <c r="P64" s="60"/>
      <c r="Q64" s="60"/>
      <c r="R64" s="60"/>
      <c r="S64" s="60"/>
      <c r="T64" s="60"/>
      <c r="U64" s="61"/>
      <c r="V64" s="61"/>
      <c r="W64" s="60"/>
      <c r="X64" s="60"/>
      <c r="Y64" s="67">
        <f t="shared" si="1"/>
        <v>0</v>
      </c>
    </row>
    <row r="65" spans="1:25" ht="66" customHeight="1" x14ac:dyDescent="0.3">
      <c r="A65" s="35"/>
      <c r="B65" s="2" t="s">
        <v>100</v>
      </c>
      <c r="C65" s="33"/>
      <c r="D65" s="33">
        <v>1612000</v>
      </c>
      <c r="E65" s="41">
        <v>1612000</v>
      </c>
      <c r="F65" s="37"/>
      <c r="G65" s="38"/>
      <c r="H65" s="34">
        <v>1</v>
      </c>
      <c r="I65" s="37">
        <f t="shared" si="10"/>
        <v>1612000</v>
      </c>
      <c r="J65" s="38">
        <v>2</v>
      </c>
      <c r="K65" s="38">
        <v>5</v>
      </c>
      <c r="L65" s="2" t="s">
        <v>159</v>
      </c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7">
        <f t="shared" si="1"/>
        <v>0</v>
      </c>
    </row>
    <row r="66" spans="1:25" ht="66" customHeight="1" x14ac:dyDescent="0.3">
      <c r="A66" s="1"/>
      <c r="B66" s="2" t="s">
        <v>101</v>
      </c>
      <c r="C66" s="33"/>
      <c r="D66" s="33">
        <v>13000000</v>
      </c>
      <c r="E66" s="41">
        <v>13000000</v>
      </c>
      <c r="F66" s="33"/>
      <c r="G66" s="34"/>
      <c r="H66" s="34">
        <v>1</v>
      </c>
      <c r="I66" s="33">
        <f t="shared" si="10"/>
        <v>13000000</v>
      </c>
      <c r="J66" s="34">
        <v>1</v>
      </c>
      <c r="K66" s="34">
        <v>5</v>
      </c>
      <c r="L66" s="2" t="s">
        <v>149</v>
      </c>
      <c r="M66" s="60"/>
      <c r="N66" s="60"/>
      <c r="O66" s="60"/>
      <c r="P66" s="60"/>
      <c r="Q66" s="60"/>
      <c r="R66" s="60"/>
      <c r="S66" s="60"/>
      <c r="T66" s="60"/>
      <c r="U66" s="61"/>
      <c r="V66" s="61"/>
      <c r="W66" s="60"/>
      <c r="X66" s="60"/>
      <c r="Y66" s="67">
        <f t="shared" si="1"/>
        <v>0</v>
      </c>
    </row>
    <row r="67" spans="1:25" ht="75" x14ac:dyDescent="0.3">
      <c r="A67" s="1"/>
      <c r="B67" s="2" t="s">
        <v>102</v>
      </c>
      <c r="C67" s="33"/>
      <c r="D67" s="33">
        <v>7148000</v>
      </c>
      <c r="E67" s="41">
        <v>7148000</v>
      </c>
      <c r="F67" s="33"/>
      <c r="G67" s="34"/>
      <c r="H67" s="34">
        <v>1</v>
      </c>
      <c r="I67" s="33">
        <f t="shared" si="10"/>
        <v>7148000</v>
      </c>
      <c r="J67" s="34">
        <v>1</v>
      </c>
      <c r="K67" s="34">
        <v>5</v>
      </c>
      <c r="L67" s="2" t="s">
        <v>149</v>
      </c>
      <c r="M67" s="60"/>
      <c r="N67" s="60"/>
      <c r="O67" s="60"/>
      <c r="P67" s="60"/>
      <c r="Q67" s="60"/>
      <c r="R67" s="60"/>
      <c r="S67" s="60"/>
      <c r="T67" s="60"/>
      <c r="U67" s="61"/>
      <c r="V67" s="61"/>
      <c r="W67" s="60"/>
      <c r="X67" s="60"/>
      <c r="Y67" s="67">
        <f t="shared" si="1"/>
        <v>0</v>
      </c>
    </row>
    <row r="68" spans="1:25" ht="93" customHeight="1" x14ac:dyDescent="0.3">
      <c r="A68" s="35"/>
      <c r="B68" s="2" t="s">
        <v>103</v>
      </c>
      <c r="C68" s="33"/>
      <c r="D68" s="33">
        <v>7210000</v>
      </c>
      <c r="E68" s="41">
        <v>7210000</v>
      </c>
      <c r="F68" s="37"/>
      <c r="G68" s="38"/>
      <c r="H68" s="34">
        <v>1</v>
      </c>
      <c r="I68" s="37">
        <f t="shared" si="10"/>
        <v>7210000</v>
      </c>
      <c r="J68" s="38">
        <v>1</v>
      </c>
      <c r="K68" s="38">
        <v>5</v>
      </c>
      <c r="L68" s="2" t="s">
        <v>149</v>
      </c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7">
        <f t="shared" si="1"/>
        <v>0</v>
      </c>
    </row>
    <row r="69" spans="1:25" ht="50.25" customHeight="1" x14ac:dyDescent="0.3">
      <c r="A69" s="1"/>
      <c r="B69" s="2" t="s">
        <v>104</v>
      </c>
      <c r="C69" s="33"/>
      <c r="D69" s="33">
        <v>1530000</v>
      </c>
      <c r="E69" s="41">
        <v>1530000</v>
      </c>
      <c r="F69" s="33"/>
      <c r="G69" s="34"/>
      <c r="H69" s="34">
        <v>1</v>
      </c>
      <c r="I69" s="33">
        <f t="shared" si="10"/>
        <v>1530000</v>
      </c>
      <c r="J69" s="34">
        <v>1</v>
      </c>
      <c r="K69" s="34">
        <v>5</v>
      </c>
      <c r="L69" s="2" t="s">
        <v>159</v>
      </c>
      <c r="M69" s="60"/>
      <c r="N69" s="60"/>
      <c r="O69" s="60"/>
      <c r="P69" s="60"/>
      <c r="Q69" s="60"/>
      <c r="R69" s="60"/>
      <c r="S69" s="60"/>
      <c r="T69" s="60"/>
      <c r="U69" s="61"/>
      <c r="V69" s="61"/>
      <c r="W69" s="60"/>
      <c r="X69" s="60"/>
      <c r="Y69" s="67">
        <f t="shared" si="1"/>
        <v>0</v>
      </c>
    </row>
    <row r="70" spans="1:25" ht="68.25" customHeight="1" x14ac:dyDescent="0.3">
      <c r="A70" s="1"/>
      <c r="B70" s="2" t="s">
        <v>105</v>
      </c>
      <c r="C70" s="33"/>
      <c r="D70" s="33">
        <v>5556000</v>
      </c>
      <c r="E70" s="41">
        <v>5556000</v>
      </c>
      <c r="F70" s="33"/>
      <c r="G70" s="34"/>
      <c r="H70" s="34">
        <v>1</v>
      </c>
      <c r="I70" s="33">
        <f t="shared" si="10"/>
        <v>5556000</v>
      </c>
      <c r="J70" s="34">
        <v>1</v>
      </c>
      <c r="K70" s="34">
        <v>5</v>
      </c>
      <c r="L70" s="2" t="s">
        <v>159</v>
      </c>
      <c r="M70" s="60"/>
      <c r="N70" s="60"/>
      <c r="O70" s="60"/>
      <c r="P70" s="60"/>
      <c r="Q70" s="60"/>
      <c r="R70" s="60"/>
      <c r="S70" s="60"/>
      <c r="T70" s="60"/>
      <c r="U70" s="61"/>
      <c r="V70" s="61"/>
      <c r="W70" s="60"/>
      <c r="X70" s="60"/>
      <c r="Y70" s="67">
        <f t="shared" si="1"/>
        <v>0</v>
      </c>
    </row>
    <row r="71" spans="1:25" ht="91.5" customHeight="1" x14ac:dyDescent="0.3">
      <c r="A71" s="1"/>
      <c r="B71" s="2" t="s">
        <v>106</v>
      </c>
      <c r="C71" s="33"/>
      <c r="D71" s="33">
        <v>1859000</v>
      </c>
      <c r="E71" s="41">
        <v>1859000</v>
      </c>
      <c r="F71" s="33"/>
      <c r="G71" s="34"/>
      <c r="H71" s="34">
        <v>1</v>
      </c>
      <c r="I71" s="33">
        <f t="shared" si="10"/>
        <v>1859000</v>
      </c>
      <c r="J71" s="34">
        <v>1</v>
      </c>
      <c r="K71" s="34">
        <v>5</v>
      </c>
      <c r="L71" s="2" t="s">
        <v>149</v>
      </c>
      <c r="M71" s="60"/>
      <c r="N71" s="60"/>
      <c r="O71" s="60"/>
      <c r="P71" s="60"/>
      <c r="Q71" s="60"/>
      <c r="R71" s="60"/>
      <c r="S71" s="60"/>
      <c r="T71" s="60"/>
      <c r="U71" s="61"/>
      <c r="V71" s="61"/>
      <c r="W71" s="60"/>
      <c r="X71" s="60"/>
      <c r="Y71" s="67">
        <f t="shared" si="1"/>
        <v>0</v>
      </c>
    </row>
    <row r="72" spans="1:25" ht="71.25" customHeight="1" x14ac:dyDescent="0.3">
      <c r="A72" s="35"/>
      <c r="B72" s="2" t="s">
        <v>107</v>
      </c>
      <c r="C72" s="33"/>
      <c r="D72" s="33">
        <v>5121000</v>
      </c>
      <c r="E72" s="41">
        <v>5121000</v>
      </c>
      <c r="F72" s="37"/>
      <c r="G72" s="38"/>
      <c r="H72" s="34">
        <v>1</v>
      </c>
      <c r="I72" s="37">
        <f t="shared" si="10"/>
        <v>5121000</v>
      </c>
      <c r="J72" s="38">
        <v>1</v>
      </c>
      <c r="K72" s="38">
        <v>5</v>
      </c>
      <c r="L72" s="2" t="s">
        <v>157</v>
      </c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7">
        <f t="shared" ref="Y72:Y98" si="11">E72-I72-M72-N72-O72-P72-Q72-R72-S72-T72-U72-V72-W72</f>
        <v>0</v>
      </c>
    </row>
    <row r="73" spans="1:25" ht="71.25" customHeight="1" x14ac:dyDescent="0.3">
      <c r="A73" s="1"/>
      <c r="B73" s="2" t="s">
        <v>108</v>
      </c>
      <c r="C73" s="33"/>
      <c r="D73" s="33">
        <v>7077000</v>
      </c>
      <c r="E73" s="41">
        <v>7077000</v>
      </c>
      <c r="F73" s="33"/>
      <c r="G73" s="34"/>
      <c r="H73" s="34">
        <v>1</v>
      </c>
      <c r="I73" s="33">
        <f t="shared" si="10"/>
        <v>7077000</v>
      </c>
      <c r="J73" s="34">
        <v>2</v>
      </c>
      <c r="K73" s="34">
        <v>5</v>
      </c>
      <c r="L73" s="2" t="s">
        <v>150</v>
      </c>
      <c r="M73" s="60"/>
      <c r="N73" s="60"/>
      <c r="O73" s="60"/>
      <c r="P73" s="60"/>
      <c r="Q73" s="60"/>
      <c r="R73" s="60"/>
      <c r="S73" s="60"/>
      <c r="T73" s="60"/>
      <c r="U73" s="61"/>
      <c r="V73" s="61"/>
      <c r="W73" s="60"/>
      <c r="X73" s="60"/>
      <c r="Y73" s="67">
        <f t="shared" si="11"/>
        <v>0</v>
      </c>
    </row>
    <row r="74" spans="1:25" ht="75" x14ac:dyDescent="0.3">
      <c r="A74" s="1"/>
      <c r="B74" s="2" t="s">
        <v>109</v>
      </c>
      <c r="C74" s="33"/>
      <c r="D74" s="33">
        <v>6758000</v>
      </c>
      <c r="E74" s="41">
        <v>6758000</v>
      </c>
      <c r="F74" s="33"/>
      <c r="G74" s="34"/>
      <c r="H74" s="34">
        <v>1</v>
      </c>
      <c r="I74" s="33">
        <f t="shared" si="10"/>
        <v>6758000</v>
      </c>
      <c r="J74" s="34">
        <v>2</v>
      </c>
      <c r="K74" s="34">
        <v>5</v>
      </c>
      <c r="L74" s="2" t="s">
        <v>150</v>
      </c>
      <c r="M74" s="60"/>
      <c r="N74" s="60"/>
      <c r="O74" s="60"/>
      <c r="P74" s="60"/>
      <c r="Q74" s="60"/>
      <c r="R74" s="60"/>
      <c r="S74" s="60"/>
      <c r="T74" s="60"/>
      <c r="U74" s="61"/>
      <c r="V74" s="61"/>
      <c r="W74" s="60"/>
      <c r="X74" s="60"/>
      <c r="Y74" s="67">
        <f t="shared" si="11"/>
        <v>0</v>
      </c>
    </row>
    <row r="75" spans="1:25" ht="63.75" customHeight="1" x14ac:dyDescent="0.3">
      <c r="A75" s="35"/>
      <c r="B75" s="2" t="s">
        <v>110</v>
      </c>
      <c r="C75" s="33"/>
      <c r="D75" s="33">
        <v>8608000</v>
      </c>
      <c r="E75" s="41">
        <v>8608000</v>
      </c>
      <c r="F75" s="37"/>
      <c r="G75" s="38"/>
      <c r="H75" s="34">
        <v>1</v>
      </c>
      <c r="I75" s="37">
        <f t="shared" si="10"/>
        <v>8608000</v>
      </c>
      <c r="J75" s="38">
        <v>1</v>
      </c>
      <c r="K75" s="38">
        <v>5</v>
      </c>
      <c r="L75" s="2" t="s">
        <v>149</v>
      </c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7">
        <f t="shared" si="11"/>
        <v>0</v>
      </c>
    </row>
    <row r="76" spans="1:25" ht="75" x14ac:dyDescent="0.3">
      <c r="A76" s="1"/>
      <c r="B76" s="2" t="s">
        <v>111</v>
      </c>
      <c r="C76" s="33"/>
      <c r="D76" s="33">
        <v>3466000</v>
      </c>
      <c r="E76" s="41">
        <v>3466000</v>
      </c>
      <c r="F76" s="33"/>
      <c r="G76" s="34"/>
      <c r="H76" s="34">
        <v>1</v>
      </c>
      <c r="I76" s="33">
        <f t="shared" si="10"/>
        <v>3466000</v>
      </c>
      <c r="J76" s="34">
        <v>1</v>
      </c>
      <c r="K76" s="34">
        <v>5</v>
      </c>
      <c r="L76" s="2" t="s">
        <v>153</v>
      </c>
      <c r="M76" s="60"/>
      <c r="N76" s="60"/>
      <c r="O76" s="60"/>
      <c r="P76" s="60"/>
      <c r="Q76" s="60"/>
      <c r="R76" s="60"/>
      <c r="S76" s="60"/>
      <c r="T76" s="60"/>
      <c r="U76" s="61"/>
      <c r="V76" s="61"/>
      <c r="W76" s="60"/>
      <c r="X76" s="60"/>
      <c r="Y76" s="67">
        <f t="shared" si="11"/>
        <v>0</v>
      </c>
    </row>
    <row r="77" spans="1:25" ht="68.25" customHeight="1" x14ac:dyDescent="0.3">
      <c r="A77" s="1"/>
      <c r="B77" s="2" t="s">
        <v>112</v>
      </c>
      <c r="C77" s="33"/>
      <c r="D77" s="33">
        <v>7419000</v>
      </c>
      <c r="E77" s="41">
        <v>7419000</v>
      </c>
      <c r="F77" s="33"/>
      <c r="G77" s="34"/>
      <c r="H77" s="34">
        <v>1</v>
      </c>
      <c r="I77" s="33">
        <f t="shared" si="10"/>
        <v>7419000</v>
      </c>
      <c r="J77" s="34">
        <v>1</v>
      </c>
      <c r="K77" s="34">
        <v>5</v>
      </c>
      <c r="L77" s="2" t="s">
        <v>155</v>
      </c>
      <c r="M77" s="60"/>
      <c r="N77" s="60"/>
      <c r="O77" s="60"/>
      <c r="P77" s="60"/>
      <c r="Q77" s="60"/>
      <c r="R77" s="60"/>
      <c r="S77" s="60"/>
      <c r="T77" s="60"/>
      <c r="U77" s="61"/>
      <c r="V77" s="61"/>
      <c r="W77" s="60"/>
      <c r="X77" s="60"/>
      <c r="Y77" s="67">
        <f t="shared" si="11"/>
        <v>0</v>
      </c>
    </row>
    <row r="78" spans="1:25" ht="56.25" x14ac:dyDescent="0.3">
      <c r="A78" s="1"/>
      <c r="B78" s="2" t="s">
        <v>113</v>
      </c>
      <c r="C78" s="33"/>
      <c r="D78" s="33">
        <v>2110000</v>
      </c>
      <c r="E78" s="41">
        <v>2110000</v>
      </c>
      <c r="F78" s="33"/>
      <c r="G78" s="34"/>
      <c r="H78" s="34">
        <v>1</v>
      </c>
      <c r="I78" s="33">
        <f t="shared" si="10"/>
        <v>2110000</v>
      </c>
      <c r="J78" s="34">
        <v>1</v>
      </c>
      <c r="K78" s="34">
        <v>5</v>
      </c>
      <c r="L78" s="2" t="s">
        <v>160</v>
      </c>
      <c r="M78" s="60"/>
      <c r="N78" s="60"/>
      <c r="O78" s="60"/>
      <c r="P78" s="60"/>
      <c r="Q78" s="60"/>
      <c r="R78" s="60"/>
      <c r="S78" s="60"/>
      <c r="T78" s="60"/>
      <c r="U78" s="61"/>
      <c r="V78" s="61"/>
      <c r="W78" s="60"/>
      <c r="X78" s="60"/>
      <c r="Y78" s="67">
        <f t="shared" si="11"/>
        <v>0</v>
      </c>
    </row>
    <row r="79" spans="1:25" ht="77.25" customHeight="1" x14ac:dyDescent="0.3">
      <c r="A79" s="35"/>
      <c r="B79" s="2" t="s">
        <v>114</v>
      </c>
      <c r="C79" s="33"/>
      <c r="D79" s="33">
        <v>7290000</v>
      </c>
      <c r="E79" s="41">
        <v>7290000</v>
      </c>
      <c r="F79" s="37"/>
      <c r="G79" s="38"/>
      <c r="H79" s="34">
        <v>1</v>
      </c>
      <c r="I79" s="33">
        <f t="shared" si="10"/>
        <v>7290000</v>
      </c>
      <c r="J79" s="34">
        <v>1</v>
      </c>
      <c r="K79" s="34">
        <v>5</v>
      </c>
      <c r="L79" s="2" t="s">
        <v>160</v>
      </c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7">
        <f t="shared" si="11"/>
        <v>0</v>
      </c>
    </row>
    <row r="80" spans="1:25" ht="65.25" customHeight="1" x14ac:dyDescent="0.3">
      <c r="A80" s="1"/>
      <c r="B80" s="2" t="s">
        <v>115</v>
      </c>
      <c r="C80" s="33"/>
      <c r="D80" s="33">
        <v>6400000</v>
      </c>
      <c r="E80" s="41">
        <v>6400000</v>
      </c>
      <c r="F80" s="33"/>
      <c r="G80" s="34"/>
      <c r="H80" s="34">
        <v>1</v>
      </c>
      <c r="I80" s="33">
        <f t="shared" si="10"/>
        <v>6400000</v>
      </c>
      <c r="J80" s="34">
        <v>1</v>
      </c>
      <c r="K80" s="34">
        <v>5</v>
      </c>
      <c r="L80" s="2" t="s">
        <v>160</v>
      </c>
      <c r="M80" s="60"/>
      <c r="N80" s="60"/>
      <c r="O80" s="60"/>
      <c r="P80" s="60"/>
      <c r="Q80" s="60"/>
      <c r="R80" s="60"/>
      <c r="S80" s="60"/>
      <c r="T80" s="60"/>
      <c r="U80" s="61"/>
      <c r="V80" s="61"/>
      <c r="W80" s="60"/>
      <c r="X80" s="60"/>
      <c r="Y80" s="67">
        <f t="shared" si="11"/>
        <v>0</v>
      </c>
    </row>
    <row r="81" spans="1:25" ht="56.25" x14ac:dyDescent="0.3">
      <c r="A81" s="1"/>
      <c r="B81" s="2" t="s">
        <v>116</v>
      </c>
      <c r="C81" s="33"/>
      <c r="D81" s="33">
        <v>1899000</v>
      </c>
      <c r="E81" s="41">
        <v>1899000</v>
      </c>
      <c r="F81" s="33"/>
      <c r="G81" s="34"/>
      <c r="H81" s="34">
        <v>1</v>
      </c>
      <c r="I81" s="33">
        <f t="shared" si="10"/>
        <v>1899000</v>
      </c>
      <c r="J81" s="34">
        <v>1</v>
      </c>
      <c r="K81" s="34">
        <v>5</v>
      </c>
      <c r="L81" s="2" t="s">
        <v>159</v>
      </c>
      <c r="M81" s="60"/>
      <c r="N81" s="60"/>
      <c r="O81" s="60"/>
      <c r="P81" s="60"/>
      <c r="Q81" s="60"/>
      <c r="R81" s="60"/>
      <c r="S81" s="60"/>
      <c r="T81" s="60"/>
      <c r="U81" s="61"/>
      <c r="V81" s="61"/>
      <c r="W81" s="60"/>
      <c r="X81" s="60"/>
      <c r="Y81" s="67">
        <f t="shared" si="11"/>
        <v>0</v>
      </c>
    </row>
    <row r="82" spans="1:25" ht="105" customHeight="1" x14ac:dyDescent="0.3">
      <c r="A82" s="35"/>
      <c r="B82" s="2" t="s">
        <v>117</v>
      </c>
      <c r="C82" s="33"/>
      <c r="D82" s="33">
        <v>3563000</v>
      </c>
      <c r="E82" s="41">
        <v>3563000</v>
      </c>
      <c r="F82" s="37"/>
      <c r="G82" s="38"/>
      <c r="H82" s="34">
        <v>1</v>
      </c>
      <c r="I82" s="33">
        <f t="shared" si="10"/>
        <v>3563000</v>
      </c>
      <c r="J82" s="34">
        <v>1</v>
      </c>
      <c r="K82" s="34">
        <v>5</v>
      </c>
      <c r="L82" s="2" t="s">
        <v>150</v>
      </c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7">
        <f t="shared" si="11"/>
        <v>0</v>
      </c>
    </row>
    <row r="83" spans="1:25" ht="75" x14ac:dyDescent="0.3">
      <c r="A83" s="1"/>
      <c r="B83" s="2" t="s">
        <v>118</v>
      </c>
      <c r="C83" s="33"/>
      <c r="D83" s="33">
        <v>3513000</v>
      </c>
      <c r="E83" s="41">
        <v>3513000</v>
      </c>
      <c r="F83" s="33"/>
      <c r="G83" s="34"/>
      <c r="H83" s="34">
        <v>1</v>
      </c>
      <c r="I83" s="33">
        <f>E83</f>
        <v>3513000</v>
      </c>
      <c r="J83" s="34">
        <v>1</v>
      </c>
      <c r="K83" s="34">
        <v>5</v>
      </c>
      <c r="L83" s="2" t="s">
        <v>151</v>
      </c>
      <c r="M83" s="60"/>
      <c r="N83" s="60"/>
      <c r="O83" s="60"/>
      <c r="P83" s="60"/>
      <c r="Q83" s="60"/>
      <c r="R83" s="60"/>
      <c r="S83" s="60"/>
      <c r="T83" s="60"/>
      <c r="U83" s="61"/>
      <c r="V83" s="61"/>
      <c r="W83" s="60"/>
      <c r="X83" s="60"/>
      <c r="Y83" s="67">
        <f t="shared" si="11"/>
        <v>0</v>
      </c>
    </row>
    <row r="84" spans="1:25" ht="37.5" x14ac:dyDescent="0.3">
      <c r="A84" s="45">
        <v>8</v>
      </c>
      <c r="B84" s="46" t="s">
        <v>139</v>
      </c>
      <c r="C84" s="47">
        <f>SUM(C85:C90)</f>
        <v>2636400</v>
      </c>
      <c r="D84" s="47">
        <f>SUM(D85:D90)</f>
        <v>0</v>
      </c>
      <c r="E84" s="47">
        <f>SUM(E85:E90)</f>
        <v>2636400</v>
      </c>
      <c r="F84" s="47">
        <f>SUM(F85:F90)</f>
        <v>324640</v>
      </c>
      <c r="G84" s="48"/>
      <c r="H84" s="57">
        <f>SUM(H85:H90)</f>
        <v>0</v>
      </c>
      <c r="I84" s="57">
        <f t="shared" ref="I84:W84" si="12">SUM(I85:I90)</f>
        <v>0</v>
      </c>
      <c r="J84" s="57">
        <f t="shared" si="12"/>
        <v>0</v>
      </c>
      <c r="K84" s="57">
        <f t="shared" si="12"/>
        <v>0</v>
      </c>
      <c r="L84" s="57">
        <f t="shared" si="12"/>
        <v>0</v>
      </c>
      <c r="M84" s="57">
        <f t="shared" si="12"/>
        <v>0</v>
      </c>
      <c r="N84" s="57">
        <f t="shared" si="12"/>
        <v>0</v>
      </c>
      <c r="O84" s="57">
        <f t="shared" si="12"/>
        <v>152600</v>
      </c>
      <c r="P84" s="57">
        <f t="shared" si="12"/>
        <v>0</v>
      </c>
      <c r="Q84" s="57">
        <f t="shared" si="12"/>
        <v>0</v>
      </c>
      <c r="R84" s="57">
        <f t="shared" si="12"/>
        <v>2483800</v>
      </c>
      <c r="S84" s="57">
        <f t="shared" si="12"/>
        <v>0</v>
      </c>
      <c r="T84" s="57">
        <f t="shared" si="12"/>
        <v>0</v>
      </c>
      <c r="U84" s="57">
        <f t="shared" si="12"/>
        <v>0</v>
      </c>
      <c r="V84" s="57">
        <f t="shared" si="12"/>
        <v>0</v>
      </c>
      <c r="W84" s="57">
        <f t="shared" si="12"/>
        <v>0</v>
      </c>
      <c r="X84" s="63"/>
      <c r="Y84" s="67">
        <f t="shared" si="11"/>
        <v>0</v>
      </c>
    </row>
    <row r="85" spans="1:25" ht="42.75" customHeight="1" x14ac:dyDescent="0.3">
      <c r="A85" s="35"/>
      <c r="B85" s="2" t="s">
        <v>119</v>
      </c>
      <c r="C85" s="33">
        <v>68400</v>
      </c>
      <c r="D85" s="33"/>
      <c r="E85" s="41">
        <v>68400</v>
      </c>
      <c r="F85" s="37">
        <v>62140</v>
      </c>
      <c r="G85" s="38"/>
      <c r="H85" s="38">
        <v>0</v>
      </c>
      <c r="I85" s="37"/>
      <c r="J85" s="38"/>
      <c r="K85" s="38"/>
      <c r="L85" s="2" t="s">
        <v>152</v>
      </c>
      <c r="M85" s="62"/>
      <c r="N85" s="62"/>
      <c r="O85" s="62">
        <f>E85</f>
        <v>68400</v>
      </c>
      <c r="P85" s="62"/>
      <c r="Q85" s="62"/>
      <c r="R85" s="62"/>
      <c r="S85" s="62"/>
      <c r="T85" s="62"/>
      <c r="U85" s="62"/>
      <c r="V85" s="62"/>
      <c r="W85" s="62"/>
      <c r="X85" s="62"/>
      <c r="Y85" s="67">
        <f t="shared" si="11"/>
        <v>0</v>
      </c>
    </row>
    <row r="86" spans="1:25" ht="44.25" customHeight="1" x14ac:dyDescent="0.3">
      <c r="A86" s="1"/>
      <c r="B86" s="2" t="s">
        <v>120</v>
      </c>
      <c r="C86" s="33">
        <v>84200</v>
      </c>
      <c r="D86" s="33"/>
      <c r="E86" s="41">
        <v>84200</v>
      </c>
      <c r="F86" s="33">
        <v>84200</v>
      </c>
      <c r="G86" s="34"/>
      <c r="H86" s="34">
        <v>0</v>
      </c>
      <c r="I86" s="33"/>
      <c r="J86" s="34"/>
      <c r="K86" s="34"/>
      <c r="L86" s="2" t="s">
        <v>152</v>
      </c>
      <c r="M86" s="60"/>
      <c r="N86" s="60"/>
      <c r="O86" s="60">
        <f>E86</f>
        <v>84200</v>
      </c>
      <c r="P86" s="60"/>
      <c r="Q86" s="60"/>
      <c r="R86" s="60"/>
      <c r="S86" s="60"/>
      <c r="T86" s="60"/>
      <c r="U86" s="61"/>
      <c r="V86" s="61"/>
      <c r="W86" s="60"/>
      <c r="X86" s="60"/>
      <c r="Y86" s="67">
        <f t="shared" si="11"/>
        <v>0</v>
      </c>
    </row>
    <row r="87" spans="1:25" ht="37.5" x14ac:dyDescent="0.3">
      <c r="A87" s="1"/>
      <c r="B87" s="2" t="s">
        <v>121</v>
      </c>
      <c r="C87" s="33">
        <v>1742100</v>
      </c>
      <c r="D87" s="33"/>
      <c r="E87" s="41">
        <v>1742100</v>
      </c>
      <c r="F87" s="33">
        <v>157100</v>
      </c>
      <c r="G87" s="34"/>
      <c r="H87" s="34">
        <v>0</v>
      </c>
      <c r="I87" s="33"/>
      <c r="J87" s="34"/>
      <c r="K87" s="34"/>
      <c r="L87" s="2" t="s">
        <v>152</v>
      </c>
      <c r="M87" s="60"/>
      <c r="N87" s="60"/>
      <c r="O87" s="60"/>
      <c r="P87" s="60"/>
      <c r="Q87" s="60"/>
      <c r="R87" s="60">
        <f>E87</f>
        <v>1742100</v>
      </c>
      <c r="S87" s="60"/>
      <c r="T87" s="60"/>
      <c r="U87" s="61"/>
      <c r="V87" s="61"/>
      <c r="W87" s="60"/>
      <c r="X87" s="60"/>
      <c r="Y87" s="67">
        <f t="shared" si="11"/>
        <v>0</v>
      </c>
    </row>
    <row r="88" spans="1:25" ht="42.75" customHeight="1" x14ac:dyDescent="0.3">
      <c r="A88" s="35"/>
      <c r="B88" s="2" t="s">
        <v>122</v>
      </c>
      <c r="C88" s="33">
        <v>118000</v>
      </c>
      <c r="D88" s="33"/>
      <c r="E88" s="41">
        <v>118000</v>
      </c>
      <c r="F88" s="37"/>
      <c r="G88" s="38"/>
      <c r="H88" s="38">
        <v>0</v>
      </c>
      <c r="I88" s="37"/>
      <c r="J88" s="38"/>
      <c r="K88" s="38"/>
      <c r="L88" s="2" t="s">
        <v>152</v>
      </c>
      <c r="M88" s="62"/>
      <c r="N88" s="62"/>
      <c r="O88" s="62"/>
      <c r="P88" s="62"/>
      <c r="Q88" s="62"/>
      <c r="R88" s="62">
        <f>E88</f>
        <v>118000</v>
      </c>
      <c r="S88" s="62"/>
      <c r="T88" s="62"/>
      <c r="U88" s="62"/>
      <c r="V88" s="62"/>
      <c r="W88" s="62"/>
      <c r="X88" s="62"/>
      <c r="Y88" s="67">
        <f t="shared" si="11"/>
        <v>0</v>
      </c>
    </row>
    <row r="89" spans="1:25" ht="37.5" x14ac:dyDescent="0.3">
      <c r="A89" s="1"/>
      <c r="B89" s="2" t="s">
        <v>123</v>
      </c>
      <c r="C89" s="33">
        <v>281500</v>
      </c>
      <c r="D89" s="33"/>
      <c r="E89" s="41">
        <v>281500</v>
      </c>
      <c r="F89" s="33"/>
      <c r="G89" s="34"/>
      <c r="H89" s="34">
        <v>0</v>
      </c>
      <c r="I89" s="33"/>
      <c r="J89" s="34"/>
      <c r="K89" s="34"/>
      <c r="L89" s="2" t="s">
        <v>152</v>
      </c>
      <c r="M89" s="60"/>
      <c r="N89" s="60"/>
      <c r="O89" s="60"/>
      <c r="P89" s="60"/>
      <c r="Q89" s="60"/>
      <c r="R89" s="60">
        <f>E89</f>
        <v>281500</v>
      </c>
      <c r="S89" s="60"/>
      <c r="T89" s="60"/>
      <c r="U89" s="61"/>
      <c r="V89" s="61"/>
      <c r="W89" s="60"/>
      <c r="X89" s="60"/>
      <c r="Y89" s="67">
        <f t="shared" si="11"/>
        <v>0</v>
      </c>
    </row>
    <row r="90" spans="1:25" ht="40.5" customHeight="1" x14ac:dyDescent="0.3">
      <c r="A90" s="1"/>
      <c r="B90" s="2" t="s">
        <v>124</v>
      </c>
      <c r="C90" s="33">
        <v>342200</v>
      </c>
      <c r="D90" s="33"/>
      <c r="E90" s="41">
        <v>342200</v>
      </c>
      <c r="F90" s="33">
        <v>21200</v>
      </c>
      <c r="G90" s="34"/>
      <c r="H90" s="34">
        <v>0</v>
      </c>
      <c r="I90" s="33"/>
      <c r="J90" s="34"/>
      <c r="K90" s="34"/>
      <c r="L90" s="2" t="s">
        <v>152</v>
      </c>
      <c r="M90" s="60"/>
      <c r="N90" s="60"/>
      <c r="O90" s="60"/>
      <c r="P90" s="60"/>
      <c r="Q90" s="60"/>
      <c r="R90" s="60">
        <f>E90</f>
        <v>342200</v>
      </c>
      <c r="S90" s="60"/>
      <c r="T90" s="60"/>
      <c r="U90" s="61"/>
      <c r="V90" s="61"/>
      <c r="W90" s="60"/>
      <c r="X90" s="60"/>
      <c r="Y90" s="67">
        <f t="shared" si="11"/>
        <v>0</v>
      </c>
    </row>
    <row r="91" spans="1:25" ht="56.25" x14ac:dyDescent="0.3">
      <c r="A91" s="51">
        <v>9</v>
      </c>
      <c r="B91" s="46" t="s">
        <v>127</v>
      </c>
      <c r="C91" s="47">
        <f>SUM(C92:C97)</f>
        <v>16935800</v>
      </c>
      <c r="D91" s="47"/>
      <c r="E91" s="44">
        <f>SUM(E92:E97)</f>
        <v>16935800</v>
      </c>
      <c r="F91" s="55">
        <f t="shared" ref="F91:W91" si="13">SUM(F92:F97)</f>
        <v>0</v>
      </c>
      <c r="G91" s="55">
        <f t="shared" si="13"/>
        <v>0</v>
      </c>
      <c r="H91" s="55">
        <f t="shared" si="13"/>
        <v>0</v>
      </c>
      <c r="I91" s="55">
        <f t="shared" si="13"/>
        <v>0</v>
      </c>
      <c r="J91" s="55">
        <f t="shared" si="13"/>
        <v>0</v>
      </c>
      <c r="K91" s="44">
        <f t="shared" si="13"/>
        <v>0</v>
      </c>
      <c r="L91" s="44">
        <f t="shared" si="13"/>
        <v>0</v>
      </c>
      <c r="M91" s="55">
        <f t="shared" si="13"/>
        <v>2880000</v>
      </c>
      <c r="N91" s="55">
        <f t="shared" si="13"/>
        <v>0</v>
      </c>
      <c r="O91" s="55">
        <f t="shared" si="13"/>
        <v>984000</v>
      </c>
      <c r="P91" s="55">
        <f t="shared" si="13"/>
        <v>0</v>
      </c>
      <c r="Q91" s="55">
        <f t="shared" si="13"/>
        <v>0</v>
      </c>
      <c r="R91" s="55">
        <f t="shared" si="13"/>
        <v>12935800</v>
      </c>
      <c r="S91" s="55">
        <f t="shared" si="13"/>
        <v>0</v>
      </c>
      <c r="T91" s="55">
        <f t="shared" si="13"/>
        <v>0</v>
      </c>
      <c r="U91" s="55">
        <f t="shared" si="13"/>
        <v>0</v>
      </c>
      <c r="V91" s="55">
        <f t="shared" si="13"/>
        <v>0</v>
      </c>
      <c r="W91" s="55">
        <f t="shared" si="13"/>
        <v>136000</v>
      </c>
      <c r="X91" s="63"/>
      <c r="Y91" s="67">
        <f t="shared" si="11"/>
        <v>0</v>
      </c>
    </row>
    <row r="92" spans="1:25" ht="45" customHeight="1" x14ac:dyDescent="0.3">
      <c r="A92" s="1"/>
      <c r="B92" s="2" t="s">
        <v>128</v>
      </c>
      <c r="C92" s="33">
        <v>2936600</v>
      </c>
      <c r="D92" s="33"/>
      <c r="E92" s="41">
        <v>2936600</v>
      </c>
      <c r="F92" s="37"/>
      <c r="G92" s="38"/>
      <c r="H92" s="38">
        <v>0</v>
      </c>
      <c r="I92" s="37"/>
      <c r="J92" s="38"/>
      <c r="K92" s="38"/>
      <c r="L92" s="2" t="s">
        <v>152</v>
      </c>
      <c r="M92" s="62"/>
      <c r="N92" s="62"/>
      <c r="O92" s="62"/>
      <c r="P92" s="62"/>
      <c r="Q92" s="62"/>
      <c r="R92" s="62">
        <f>E92</f>
        <v>2936600</v>
      </c>
      <c r="S92" s="62"/>
      <c r="T92" s="62"/>
      <c r="U92" s="62"/>
      <c r="V92" s="62"/>
      <c r="W92" s="62"/>
      <c r="X92" s="62"/>
      <c r="Y92" s="67">
        <f t="shared" si="11"/>
        <v>0</v>
      </c>
    </row>
    <row r="93" spans="1:25" ht="24" customHeight="1" x14ac:dyDescent="0.3">
      <c r="A93" s="1"/>
      <c r="B93" s="2" t="s">
        <v>129</v>
      </c>
      <c r="C93" s="33">
        <v>3000000</v>
      </c>
      <c r="D93" s="33"/>
      <c r="E93" s="41">
        <v>3000000</v>
      </c>
      <c r="F93" s="33"/>
      <c r="G93" s="34"/>
      <c r="H93" s="34">
        <v>0</v>
      </c>
      <c r="I93" s="33"/>
      <c r="J93" s="34"/>
      <c r="K93" s="34"/>
      <c r="L93" s="2" t="s">
        <v>152</v>
      </c>
      <c r="M93" s="60"/>
      <c r="N93" s="60"/>
      <c r="O93" s="60"/>
      <c r="P93" s="60"/>
      <c r="Q93" s="60"/>
      <c r="R93" s="60">
        <f>E93</f>
        <v>3000000</v>
      </c>
      <c r="S93" s="60"/>
      <c r="T93" s="60"/>
      <c r="U93" s="61"/>
      <c r="V93" s="61"/>
      <c r="W93" s="60"/>
      <c r="X93" s="60"/>
      <c r="Y93" s="67">
        <f t="shared" si="11"/>
        <v>0</v>
      </c>
    </row>
    <row r="94" spans="1:25" ht="37.5" x14ac:dyDescent="0.3">
      <c r="A94" s="1"/>
      <c r="B94" s="2" t="s">
        <v>130</v>
      </c>
      <c r="C94" s="33">
        <v>2999200</v>
      </c>
      <c r="D94" s="33"/>
      <c r="E94" s="41">
        <v>2999200</v>
      </c>
      <c r="F94" s="33"/>
      <c r="G94" s="34"/>
      <c r="H94" s="34">
        <v>0</v>
      </c>
      <c r="I94" s="33"/>
      <c r="J94" s="34"/>
      <c r="K94" s="34"/>
      <c r="L94" s="2" t="s">
        <v>152</v>
      </c>
      <c r="M94" s="60"/>
      <c r="N94" s="60"/>
      <c r="O94" s="60"/>
      <c r="P94" s="60"/>
      <c r="Q94" s="60"/>
      <c r="R94" s="60">
        <f>E94</f>
        <v>2999200</v>
      </c>
      <c r="S94" s="60"/>
      <c r="T94" s="60"/>
      <c r="U94" s="61"/>
      <c r="V94" s="61"/>
      <c r="W94" s="60"/>
      <c r="X94" s="60"/>
      <c r="Y94" s="67">
        <f t="shared" si="11"/>
        <v>0</v>
      </c>
    </row>
    <row r="95" spans="1:25" ht="42" customHeight="1" x14ac:dyDescent="0.3">
      <c r="A95" s="1"/>
      <c r="B95" s="2" t="s">
        <v>131</v>
      </c>
      <c r="C95" s="33">
        <v>1000000</v>
      </c>
      <c r="D95" s="33"/>
      <c r="E95" s="41">
        <v>1000000</v>
      </c>
      <c r="F95" s="37"/>
      <c r="G95" s="38"/>
      <c r="H95" s="38">
        <v>0</v>
      </c>
      <c r="I95" s="37"/>
      <c r="J95" s="38"/>
      <c r="K95" s="38"/>
      <c r="L95" s="2" t="s">
        <v>152</v>
      </c>
      <c r="M95" s="62"/>
      <c r="N95" s="62"/>
      <c r="O95" s="60">
        <v>984000</v>
      </c>
      <c r="P95" s="62"/>
      <c r="Q95" s="62"/>
      <c r="R95" s="62"/>
      <c r="S95" s="62"/>
      <c r="T95" s="62"/>
      <c r="U95" s="62"/>
      <c r="V95" s="62"/>
      <c r="W95" s="62">
        <f>E95-M95-N95-O95-P95-Q95-R95-S95-T95-U95+V95</f>
        <v>16000</v>
      </c>
      <c r="X95" s="62"/>
      <c r="Y95" s="67">
        <f t="shared" si="11"/>
        <v>0</v>
      </c>
    </row>
    <row r="96" spans="1:25" ht="37.5" x14ac:dyDescent="0.3">
      <c r="A96" s="1"/>
      <c r="B96" s="2" t="s">
        <v>132</v>
      </c>
      <c r="C96" s="33">
        <v>3000000</v>
      </c>
      <c r="D96" s="33"/>
      <c r="E96" s="41">
        <v>3000000</v>
      </c>
      <c r="F96" s="33"/>
      <c r="G96" s="34"/>
      <c r="H96" s="34">
        <v>0</v>
      </c>
      <c r="I96" s="33"/>
      <c r="J96" s="34"/>
      <c r="K96" s="34"/>
      <c r="L96" s="2" t="s">
        <v>152</v>
      </c>
      <c r="M96" s="60">
        <v>2880000</v>
      </c>
      <c r="N96" s="60"/>
      <c r="O96" s="60"/>
      <c r="P96" s="60"/>
      <c r="Q96" s="60"/>
      <c r="R96" s="60"/>
      <c r="S96" s="60"/>
      <c r="T96" s="60"/>
      <c r="U96" s="61"/>
      <c r="V96" s="61"/>
      <c r="W96" s="60">
        <f>E96-M96</f>
        <v>120000</v>
      </c>
      <c r="X96" s="60"/>
      <c r="Y96" s="67">
        <f t="shared" si="11"/>
        <v>0</v>
      </c>
    </row>
    <row r="97" spans="1:25" ht="43.5" customHeight="1" x14ac:dyDescent="0.3">
      <c r="A97" s="1"/>
      <c r="B97" s="2" t="s">
        <v>133</v>
      </c>
      <c r="C97" s="33">
        <v>4000000</v>
      </c>
      <c r="D97" s="33"/>
      <c r="E97" s="41">
        <v>4000000</v>
      </c>
      <c r="F97" s="33"/>
      <c r="G97" s="34"/>
      <c r="H97" s="34">
        <v>0</v>
      </c>
      <c r="I97" s="33"/>
      <c r="J97" s="34"/>
      <c r="K97" s="34"/>
      <c r="L97" s="2" t="s">
        <v>152</v>
      </c>
      <c r="M97" s="60"/>
      <c r="N97" s="60"/>
      <c r="O97" s="60"/>
      <c r="P97" s="60"/>
      <c r="Q97" s="60"/>
      <c r="R97" s="60">
        <f>E97</f>
        <v>4000000</v>
      </c>
      <c r="S97" s="60"/>
      <c r="T97" s="60"/>
      <c r="U97" s="61"/>
      <c r="V97" s="61"/>
      <c r="W97" s="60"/>
      <c r="X97" s="60"/>
      <c r="Y97" s="67">
        <f t="shared" si="11"/>
        <v>0</v>
      </c>
    </row>
    <row r="98" spans="1:25" ht="75" x14ac:dyDescent="0.3">
      <c r="A98" s="51">
        <v>10</v>
      </c>
      <c r="B98" s="49" t="s">
        <v>125</v>
      </c>
      <c r="C98" s="50">
        <v>350000</v>
      </c>
      <c r="D98" s="50"/>
      <c r="E98" s="52">
        <v>350000</v>
      </c>
      <c r="F98" s="52">
        <v>45000</v>
      </c>
      <c r="G98" s="53"/>
      <c r="H98" s="53"/>
      <c r="I98" s="50"/>
      <c r="J98" s="53"/>
      <c r="K98" s="53"/>
      <c r="L98" s="49" t="s">
        <v>152</v>
      </c>
      <c r="M98" s="63">
        <v>25000</v>
      </c>
      <c r="N98" s="63">
        <v>25000</v>
      </c>
      <c r="O98" s="63">
        <v>25000</v>
      </c>
      <c r="P98" s="63">
        <v>25000</v>
      </c>
      <c r="Q98" s="63">
        <v>25000</v>
      </c>
      <c r="R98" s="63">
        <v>15000</v>
      </c>
      <c r="S98" s="63">
        <v>15000</v>
      </c>
      <c r="T98" s="63">
        <v>15000</v>
      </c>
      <c r="U98" s="63">
        <v>30000</v>
      </c>
      <c r="V98" s="63">
        <v>150000</v>
      </c>
      <c r="W98" s="63"/>
      <c r="X98" s="63"/>
      <c r="Y98" s="67">
        <f t="shared" si="11"/>
        <v>0</v>
      </c>
    </row>
    <row r="99" spans="1:25" ht="4.5" customHeight="1" x14ac:dyDescent="0.3">
      <c r="A99" s="8"/>
      <c r="B99" s="9"/>
      <c r="C99" s="39"/>
      <c r="D99" s="39"/>
      <c r="E99" s="32">
        <f>C99+D99</f>
        <v>0</v>
      </c>
      <c r="F99" s="39"/>
      <c r="G99" s="40"/>
      <c r="H99" s="40"/>
      <c r="I99" s="39"/>
      <c r="J99" s="40"/>
      <c r="K99" s="40"/>
      <c r="L99" s="9"/>
      <c r="M99" s="64"/>
      <c r="N99" s="64"/>
      <c r="O99" s="64"/>
      <c r="P99" s="64"/>
      <c r="Q99" s="64"/>
      <c r="R99" s="64"/>
      <c r="S99" s="64"/>
      <c r="T99" s="64"/>
      <c r="U99" s="65"/>
      <c r="V99" s="65"/>
      <c r="W99" s="64"/>
      <c r="X99" s="64"/>
    </row>
    <row r="100" spans="1:25" ht="22.5" customHeight="1" x14ac:dyDescent="0.3">
      <c r="A100" s="1510" t="s">
        <v>29</v>
      </c>
      <c r="B100" s="1511"/>
      <c r="C100" s="19">
        <f>C7+C9+C15+C17+C22+C26+C28+C33+C84+C91+C98</f>
        <v>52333600</v>
      </c>
      <c r="D100" s="19">
        <f t="shared" ref="D100:W100" si="14">D7+D9+D15+D17+D22+D26+D28+D33+D84+D91+D98</f>
        <v>374333600</v>
      </c>
      <c r="E100" s="19">
        <f>E7+E9+E15+E17+E22+E26+E28+E33+E84+E91+E98</f>
        <v>426667200</v>
      </c>
      <c r="F100" s="19">
        <f t="shared" si="14"/>
        <v>2619545.81</v>
      </c>
      <c r="G100" s="19">
        <f t="shared" si="14"/>
        <v>0</v>
      </c>
      <c r="H100" s="19">
        <f t="shared" si="14"/>
        <v>64</v>
      </c>
      <c r="I100" s="19">
        <f t="shared" si="14"/>
        <v>382598600</v>
      </c>
      <c r="J100" s="19">
        <f t="shared" si="14"/>
        <v>4</v>
      </c>
      <c r="K100" s="19">
        <f t="shared" si="14"/>
        <v>0</v>
      </c>
      <c r="L100" s="19"/>
      <c r="M100" s="19">
        <f>M7+M9+M15+M17+M22+M26+M28+M33+M84+M91+M98</f>
        <v>4905000</v>
      </c>
      <c r="N100" s="19">
        <f t="shared" si="14"/>
        <v>1025000</v>
      </c>
      <c r="O100" s="19">
        <f t="shared" si="14"/>
        <v>9456600</v>
      </c>
      <c r="P100" s="19">
        <f t="shared" si="14"/>
        <v>2440500</v>
      </c>
      <c r="Q100" s="19">
        <f t="shared" si="14"/>
        <v>5450900</v>
      </c>
      <c r="R100" s="19">
        <f t="shared" si="14"/>
        <v>16434600</v>
      </c>
      <c r="S100" s="19">
        <f t="shared" si="14"/>
        <v>1015000</v>
      </c>
      <c r="T100" s="19">
        <f t="shared" si="14"/>
        <v>1015000</v>
      </c>
      <c r="U100" s="19">
        <f t="shared" si="14"/>
        <v>1030000</v>
      </c>
      <c r="V100" s="19">
        <f t="shared" si="14"/>
        <v>150000</v>
      </c>
      <c r="W100" s="19">
        <f t="shared" si="14"/>
        <v>1146000</v>
      </c>
      <c r="X100" s="56"/>
    </row>
    <row r="101" spans="1:25" ht="22.5" customHeight="1" x14ac:dyDescent="0.3">
      <c r="A101" s="23"/>
      <c r="B101" s="23"/>
      <c r="C101" s="29"/>
      <c r="D101" s="29"/>
      <c r="E101" s="29"/>
      <c r="F101" s="29"/>
      <c r="G101" s="23"/>
      <c r="H101" s="23"/>
      <c r="I101" s="31"/>
      <c r="J101" s="23"/>
      <c r="K101" s="30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</row>
    <row r="102" spans="1:25" ht="22.5" customHeight="1" x14ac:dyDescent="0.3">
      <c r="A102" s="23"/>
      <c r="B102" s="23"/>
      <c r="C102" s="29"/>
      <c r="D102" s="29"/>
      <c r="E102" s="29"/>
      <c r="F102" s="29"/>
      <c r="G102" s="23"/>
      <c r="H102" s="23"/>
      <c r="I102" s="31"/>
      <c r="J102" s="23"/>
      <c r="K102" s="30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</row>
    <row r="103" spans="1:25" ht="22.5" customHeight="1" x14ac:dyDescent="0.3">
      <c r="A103" s="23"/>
      <c r="B103" s="23"/>
      <c r="C103" s="29"/>
      <c r="D103" s="29"/>
      <c r="E103" s="29"/>
      <c r="F103" s="29"/>
      <c r="G103" s="23"/>
      <c r="H103" s="23"/>
      <c r="I103" s="31"/>
      <c r="J103" s="23"/>
      <c r="K103" s="30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</row>
    <row r="104" spans="1:25" ht="22.5" customHeight="1" x14ac:dyDescent="0.35">
      <c r="A104" s="24"/>
      <c r="B104" s="15" t="s">
        <v>27</v>
      </c>
      <c r="C104" s="24"/>
      <c r="D104" s="24"/>
      <c r="E104" s="24"/>
      <c r="F104" s="24"/>
      <c r="G104" s="25"/>
      <c r="H104" s="25"/>
      <c r="I104" s="66"/>
      <c r="J104" s="25"/>
      <c r="Q104" s="13"/>
      <c r="R104" s="13"/>
      <c r="S104" s="13"/>
      <c r="T104" s="13"/>
    </row>
    <row r="105" spans="1:25" ht="21.75" customHeight="1" x14ac:dyDescent="0.35">
      <c r="A105" s="26">
        <v>1</v>
      </c>
      <c r="B105" s="15" t="s">
        <v>35</v>
      </c>
      <c r="C105" s="24"/>
      <c r="D105" s="24"/>
      <c r="E105" s="24"/>
      <c r="F105" s="24"/>
      <c r="G105" s="25"/>
      <c r="H105" s="25"/>
      <c r="I105" s="66"/>
      <c r="J105" s="25"/>
      <c r="Q105" s="13"/>
      <c r="R105" s="13"/>
      <c r="S105" s="13"/>
      <c r="T105" s="13"/>
    </row>
    <row r="106" spans="1:25" ht="21" x14ac:dyDescent="0.35">
      <c r="A106" s="27">
        <v>2</v>
      </c>
      <c r="B106" s="28" t="s">
        <v>28</v>
      </c>
      <c r="C106" s="28"/>
      <c r="D106" s="28"/>
      <c r="E106" s="24"/>
      <c r="F106" s="24"/>
      <c r="G106" s="25"/>
      <c r="H106" s="25"/>
      <c r="I106" s="24"/>
      <c r="J106" s="25"/>
    </row>
    <row r="107" spans="1:25" ht="21" x14ac:dyDescent="0.35">
      <c r="A107" s="25"/>
      <c r="B107" s="24" t="s">
        <v>38</v>
      </c>
      <c r="C107" s="24"/>
      <c r="D107" s="24"/>
      <c r="E107" s="24"/>
      <c r="F107" s="24"/>
      <c r="G107" s="25"/>
      <c r="H107" s="25"/>
      <c r="I107" s="24"/>
      <c r="J107" s="25"/>
    </row>
    <row r="108" spans="1:25" ht="21" x14ac:dyDescent="0.35">
      <c r="A108" s="25"/>
      <c r="B108" s="24" t="s">
        <v>39</v>
      </c>
      <c r="C108" s="24"/>
      <c r="D108" s="24"/>
      <c r="E108" s="24"/>
      <c r="F108" s="24"/>
      <c r="G108" s="25"/>
      <c r="H108" s="25"/>
      <c r="I108" s="24"/>
      <c r="J108" s="25"/>
    </row>
    <row r="109" spans="1:25" ht="21" x14ac:dyDescent="0.35">
      <c r="A109" s="25"/>
      <c r="B109" s="24" t="s">
        <v>40</v>
      </c>
      <c r="C109" s="24"/>
      <c r="D109" s="24"/>
      <c r="E109" s="24"/>
      <c r="F109" s="24"/>
      <c r="G109" s="25"/>
      <c r="H109" s="25"/>
      <c r="I109" s="24"/>
      <c r="J109" s="25"/>
    </row>
    <row r="110" spans="1:25" ht="21" x14ac:dyDescent="0.35">
      <c r="A110" s="25"/>
      <c r="B110" s="24" t="s">
        <v>41</v>
      </c>
      <c r="C110" s="24"/>
      <c r="D110" s="24"/>
      <c r="E110" s="24"/>
      <c r="F110" s="24"/>
      <c r="G110" s="25"/>
      <c r="H110" s="25"/>
      <c r="I110" s="24"/>
      <c r="J110" s="25"/>
    </row>
    <row r="111" spans="1:25" ht="21" x14ac:dyDescent="0.35">
      <c r="A111" s="25"/>
      <c r="B111" s="24" t="s">
        <v>42</v>
      </c>
      <c r="C111" s="24"/>
      <c r="D111" s="24"/>
      <c r="E111" s="24"/>
      <c r="F111" s="24"/>
      <c r="G111" s="25"/>
      <c r="H111" s="25"/>
      <c r="I111" s="24"/>
      <c r="J111" s="25"/>
    </row>
    <row r="112" spans="1:25" ht="21" x14ac:dyDescent="0.35">
      <c r="A112" s="25"/>
      <c r="B112" s="24" t="s">
        <v>43</v>
      </c>
      <c r="C112" s="24"/>
      <c r="D112" s="24"/>
      <c r="E112" s="24"/>
      <c r="F112" s="24"/>
      <c r="G112" s="25"/>
      <c r="H112" s="25"/>
      <c r="I112" s="24"/>
      <c r="J112" s="25"/>
    </row>
    <row r="113" spans="1:10" ht="21" x14ac:dyDescent="0.35">
      <c r="A113" s="25"/>
      <c r="B113" s="24" t="s">
        <v>44</v>
      </c>
      <c r="C113" s="24"/>
      <c r="D113" s="24"/>
      <c r="E113" s="24"/>
      <c r="F113" s="24"/>
      <c r="G113" s="25"/>
      <c r="H113" s="25"/>
      <c r="I113" s="24"/>
      <c r="J113" s="25"/>
    </row>
    <row r="114" spans="1:10" ht="21" x14ac:dyDescent="0.35">
      <c r="A114" s="25"/>
      <c r="B114" s="24" t="s">
        <v>45</v>
      </c>
      <c r="C114" s="24"/>
      <c r="D114" s="24"/>
      <c r="E114" s="24"/>
      <c r="F114" s="24"/>
      <c r="G114" s="25"/>
      <c r="H114" s="25"/>
      <c r="I114" s="24"/>
      <c r="J114" s="25"/>
    </row>
    <row r="115" spans="1:10" ht="21" x14ac:dyDescent="0.35">
      <c r="A115" s="25"/>
      <c r="B115" s="24" t="s">
        <v>46</v>
      </c>
      <c r="C115" s="24"/>
      <c r="D115" s="24"/>
      <c r="E115" s="24"/>
      <c r="F115" s="24"/>
      <c r="G115" s="25"/>
      <c r="H115" s="25"/>
      <c r="I115" s="24"/>
      <c r="J115" s="25"/>
    </row>
    <row r="116" spans="1:10" ht="21" x14ac:dyDescent="0.35">
      <c r="A116" s="25"/>
      <c r="B116" s="24" t="s">
        <v>47</v>
      </c>
      <c r="C116" s="24"/>
      <c r="D116" s="24"/>
      <c r="E116" s="24"/>
      <c r="F116" s="24"/>
      <c r="G116" s="25"/>
      <c r="H116" s="25"/>
      <c r="I116" s="24"/>
      <c r="J116" s="25"/>
    </row>
    <row r="117" spans="1:10" ht="21" x14ac:dyDescent="0.35">
      <c r="A117" s="27">
        <v>3</v>
      </c>
      <c r="B117" s="28" t="s">
        <v>48</v>
      </c>
      <c r="C117" s="24"/>
      <c r="D117" s="24"/>
      <c r="E117" s="24"/>
      <c r="F117" s="24"/>
      <c r="G117" s="24"/>
      <c r="H117" s="25"/>
      <c r="I117" s="24"/>
      <c r="J117" s="24"/>
    </row>
    <row r="118" spans="1:10" ht="21" x14ac:dyDescent="0.35">
      <c r="A118" s="27">
        <v>4</v>
      </c>
      <c r="B118" s="28" t="s">
        <v>49</v>
      </c>
      <c r="C118" s="24"/>
      <c r="D118" s="24"/>
      <c r="E118" s="24"/>
      <c r="F118" s="24"/>
      <c r="G118" s="24"/>
      <c r="H118" s="25"/>
      <c r="I118" s="24"/>
      <c r="J118" s="24"/>
    </row>
    <row r="119" spans="1:10" ht="21" x14ac:dyDescent="0.35">
      <c r="A119" s="27">
        <v>5</v>
      </c>
      <c r="B119" s="28" t="s">
        <v>37</v>
      </c>
      <c r="C119" s="24"/>
      <c r="D119" s="24"/>
      <c r="E119" s="24"/>
      <c r="F119" s="24"/>
      <c r="G119" s="24"/>
      <c r="H119" s="25"/>
      <c r="I119" s="24"/>
      <c r="J119" s="24"/>
    </row>
  </sheetData>
  <mergeCells count="15">
    <mergeCell ref="A100:B100"/>
    <mergeCell ref="A1:X1"/>
    <mergeCell ref="A2:X2"/>
    <mergeCell ref="A3:X3"/>
    <mergeCell ref="A5:A6"/>
    <mergeCell ref="B5:B6"/>
    <mergeCell ref="C5:C6"/>
    <mergeCell ref="D5:D6"/>
    <mergeCell ref="E5:E6"/>
    <mergeCell ref="F5:F6"/>
    <mergeCell ref="G5:G6"/>
    <mergeCell ref="H5:L5"/>
    <mergeCell ref="M5:V5"/>
    <mergeCell ref="W5:W6"/>
    <mergeCell ref="X5:X6"/>
  </mergeCells>
  <printOptions horizontalCentered="1"/>
  <pageMargins left="0.23622047244094491" right="0.23622047244094491" top="0.74803149606299213" bottom="0.39370078740157483" header="0.31496062992125984" footer="0.31496062992125984"/>
  <pageSetup paperSize="9" scale="47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9"/>
  <sheetViews>
    <sheetView topLeftCell="A78" zoomScaleNormal="100" workbookViewId="0">
      <selection activeCell="E110" sqref="E110"/>
    </sheetView>
  </sheetViews>
  <sheetFormatPr defaultColWidth="9" defaultRowHeight="18.75" x14ac:dyDescent="0.3"/>
  <cols>
    <col min="1" max="1" width="4.125" style="11" customWidth="1"/>
    <col min="2" max="2" width="28.75" style="11" customWidth="1"/>
    <col min="3" max="3" width="10.375" style="11" customWidth="1"/>
    <col min="4" max="4" width="11.125" style="11" customWidth="1"/>
    <col min="5" max="5" width="13" style="11" customWidth="1"/>
    <col min="6" max="6" width="12.375" style="11" customWidth="1"/>
    <col min="7" max="7" width="10.875" style="12" customWidth="1"/>
    <col min="8" max="8" width="7.625" style="12" customWidth="1"/>
    <col min="9" max="9" width="12.625" style="11" customWidth="1"/>
    <col min="10" max="10" width="10.375" style="12" customWidth="1"/>
    <col min="11" max="11" width="11.375" style="11" customWidth="1"/>
    <col min="12" max="12" width="22.375" style="11" customWidth="1"/>
    <col min="13" max="23" width="10.375" style="11" customWidth="1"/>
    <col min="24" max="24" width="10" style="11" customWidth="1"/>
    <col min="25" max="25" width="13.75" style="11" customWidth="1"/>
    <col min="26" max="16384" width="9" style="11"/>
  </cols>
  <sheetData>
    <row r="1" spans="1:25" ht="23.25" x14ac:dyDescent="0.3">
      <c r="A1" s="1455" t="s">
        <v>31</v>
      </c>
      <c r="B1" s="1455"/>
      <c r="C1" s="1455"/>
      <c r="D1" s="1455"/>
      <c r="E1" s="1455"/>
      <c r="F1" s="1455"/>
      <c r="G1" s="1455"/>
      <c r="H1" s="1455"/>
      <c r="I1" s="1455"/>
      <c r="J1" s="1455"/>
      <c r="K1" s="1455"/>
      <c r="L1" s="1455"/>
      <c r="M1" s="1455"/>
      <c r="N1" s="1455"/>
      <c r="O1" s="1455"/>
      <c r="P1" s="1455"/>
      <c r="Q1" s="1455"/>
      <c r="R1" s="1455"/>
      <c r="S1" s="1455"/>
      <c r="T1" s="1455"/>
      <c r="U1" s="1455"/>
      <c r="V1" s="1455"/>
      <c r="W1" s="1455"/>
      <c r="X1" s="1455"/>
    </row>
    <row r="2" spans="1:25" ht="23.25" x14ac:dyDescent="0.3">
      <c r="A2" s="1455" t="s">
        <v>35</v>
      </c>
      <c r="B2" s="1455"/>
      <c r="C2" s="1455"/>
      <c r="D2" s="1455"/>
      <c r="E2" s="1455"/>
      <c r="F2" s="1455"/>
      <c r="G2" s="1455"/>
      <c r="H2" s="1455"/>
      <c r="I2" s="1455"/>
      <c r="J2" s="1455"/>
      <c r="K2" s="1455"/>
      <c r="L2" s="1455"/>
      <c r="M2" s="1455"/>
      <c r="N2" s="1455"/>
      <c r="O2" s="1455"/>
      <c r="P2" s="1455"/>
      <c r="Q2" s="1455"/>
      <c r="R2" s="1455"/>
      <c r="S2" s="1455"/>
      <c r="T2" s="1455"/>
      <c r="U2" s="1455"/>
      <c r="V2" s="1455"/>
      <c r="W2" s="1455"/>
      <c r="X2" s="1455"/>
    </row>
    <row r="3" spans="1:25" ht="18" customHeight="1" x14ac:dyDescent="0.3">
      <c r="A3" s="1455" t="s">
        <v>169</v>
      </c>
      <c r="B3" s="1455"/>
      <c r="C3" s="1455"/>
      <c r="D3" s="1455"/>
      <c r="E3" s="1455"/>
      <c r="F3" s="1455"/>
      <c r="G3" s="1455"/>
      <c r="H3" s="1455"/>
      <c r="I3" s="1455"/>
      <c r="J3" s="1455"/>
      <c r="K3" s="1455"/>
      <c r="L3" s="1455"/>
      <c r="M3" s="1455"/>
      <c r="N3" s="1455"/>
      <c r="O3" s="1455"/>
      <c r="P3" s="1455"/>
      <c r="Q3" s="1455"/>
      <c r="R3" s="1455"/>
      <c r="S3" s="1455"/>
      <c r="T3" s="1455"/>
      <c r="U3" s="1455"/>
      <c r="V3" s="1455"/>
      <c r="W3" s="1455"/>
      <c r="X3" s="1455"/>
    </row>
    <row r="4" spans="1:25" ht="14.25" customHeight="1" x14ac:dyDescent="0.3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2"/>
    </row>
    <row r="5" spans="1:25" ht="33" customHeight="1" x14ac:dyDescent="0.3">
      <c r="A5" s="1512" t="s">
        <v>0</v>
      </c>
      <c r="B5" s="1459" t="s">
        <v>1</v>
      </c>
      <c r="C5" s="1514" t="s">
        <v>26</v>
      </c>
      <c r="D5" s="1514" t="s">
        <v>11</v>
      </c>
      <c r="E5" s="1516" t="s">
        <v>2</v>
      </c>
      <c r="F5" s="1516" t="s">
        <v>3</v>
      </c>
      <c r="G5" s="1516" t="s">
        <v>8</v>
      </c>
      <c r="H5" s="1517" t="s">
        <v>30</v>
      </c>
      <c r="I5" s="1517"/>
      <c r="J5" s="1517"/>
      <c r="K5" s="1517"/>
      <c r="L5" s="1517"/>
      <c r="M5" s="1459" t="s">
        <v>10</v>
      </c>
      <c r="N5" s="1459"/>
      <c r="O5" s="1459"/>
      <c r="P5" s="1459"/>
      <c r="Q5" s="1459"/>
      <c r="R5" s="1459"/>
      <c r="S5" s="1459"/>
      <c r="T5" s="1459"/>
      <c r="U5" s="1459"/>
      <c r="V5" s="1459"/>
      <c r="W5" s="1516" t="s">
        <v>16</v>
      </c>
      <c r="X5" s="1518" t="s">
        <v>36</v>
      </c>
    </row>
    <row r="6" spans="1:25" ht="102" customHeight="1" x14ac:dyDescent="0.3">
      <c r="A6" s="1513"/>
      <c r="B6" s="1459"/>
      <c r="C6" s="1515"/>
      <c r="D6" s="1515"/>
      <c r="E6" s="1516"/>
      <c r="F6" s="1516"/>
      <c r="G6" s="1516"/>
      <c r="H6" s="20" t="s">
        <v>5</v>
      </c>
      <c r="I6" s="21" t="s">
        <v>6</v>
      </c>
      <c r="J6" s="21" t="s">
        <v>20</v>
      </c>
      <c r="K6" s="21" t="s">
        <v>7</v>
      </c>
      <c r="L6" s="20" t="s">
        <v>9</v>
      </c>
      <c r="M6" s="54" t="s">
        <v>32</v>
      </c>
      <c r="N6" s="54" t="s">
        <v>142</v>
      </c>
      <c r="O6" s="54" t="s">
        <v>143</v>
      </c>
      <c r="P6" s="54" t="s">
        <v>144</v>
      </c>
      <c r="Q6" s="54" t="s">
        <v>145</v>
      </c>
      <c r="R6" s="54" t="s">
        <v>148</v>
      </c>
      <c r="S6" s="54" t="s">
        <v>146</v>
      </c>
      <c r="T6" s="54" t="s">
        <v>147</v>
      </c>
      <c r="U6" s="54" t="s">
        <v>33</v>
      </c>
      <c r="V6" s="54" t="s">
        <v>34</v>
      </c>
      <c r="W6" s="1516"/>
      <c r="X6" s="1519"/>
    </row>
    <row r="7" spans="1:25" ht="43.5" customHeight="1" x14ac:dyDescent="0.3">
      <c r="A7" s="42">
        <v>1</v>
      </c>
      <c r="B7" s="43" t="s">
        <v>51</v>
      </c>
      <c r="C7" s="44">
        <f>SUM(C8)</f>
        <v>1315900</v>
      </c>
      <c r="D7" s="44">
        <f>SUM(D8)</f>
        <v>0</v>
      </c>
      <c r="E7" s="44">
        <f>E8</f>
        <v>1315900</v>
      </c>
      <c r="F7" s="55">
        <f t="shared" ref="F7:W7" si="0">F8</f>
        <v>0</v>
      </c>
      <c r="G7" s="55">
        <f t="shared" si="0"/>
        <v>0</v>
      </c>
      <c r="H7" s="55">
        <f t="shared" si="0"/>
        <v>0</v>
      </c>
      <c r="I7" s="55">
        <f t="shared" si="0"/>
        <v>0</v>
      </c>
      <c r="J7" s="55">
        <f t="shared" si="0"/>
        <v>0</v>
      </c>
      <c r="K7" s="55">
        <f t="shared" si="0"/>
        <v>0</v>
      </c>
      <c r="L7" s="44"/>
      <c r="M7" s="55">
        <f t="shared" si="0"/>
        <v>0</v>
      </c>
      <c r="N7" s="55">
        <f t="shared" si="0"/>
        <v>0</v>
      </c>
      <c r="O7" s="55">
        <f t="shared" si="0"/>
        <v>0</v>
      </c>
      <c r="P7" s="55">
        <f t="shared" si="0"/>
        <v>0</v>
      </c>
      <c r="Q7" s="55">
        <f t="shared" si="0"/>
        <v>1315900</v>
      </c>
      <c r="R7" s="55">
        <f t="shared" si="0"/>
        <v>0</v>
      </c>
      <c r="S7" s="55">
        <f t="shared" si="0"/>
        <v>0</v>
      </c>
      <c r="T7" s="55">
        <f t="shared" si="0"/>
        <v>0</v>
      </c>
      <c r="U7" s="55">
        <f t="shared" si="0"/>
        <v>0</v>
      </c>
      <c r="V7" s="55">
        <f t="shared" si="0"/>
        <v>0</v>
      </c>
      <c r="W7" s="55">
        <f t="shared" si="0"/>
        <v>0</v>
      </c>
      <c r="X7" s="59"/>
      <c r="Y7" s="67">
        <f>E7-I7-M7-N7-O7-P7-Q7-R7-S7-T7-U7-V7-W7</f>
        <v>0</v>
      </c>
    </row>
    <row r="8" spans="1:25" ht="37.5" x14ac:dyDescent="0.3">
      <c r="A8" s="1"/>
      <c r="B8" s="2" t="s">
        <v>52</v>
      </c>
      <c r="C8" s="33">
        <f>E8</f>
        <v>1315900</v>
      </c>
      <c r="D8" s="33"/>
      <c r="E8" s="41">
        <v>1315900</v>
      </c>
      <c r="F8" s="33"/>
      <c r="G8" s="34"/>
      <c r="H8" s="34">
        <v>0</v>
      </c>
      <c r="I8" s="33"/>
      <c r="J8" s="34"/>
      <c r="K8" s="34"/>
      <c r="L8" s="2" t="s">
        <v>163</v>
      </c>
      <c r="M8" s="60"/>
      <c r="N8" s="60"/>
      <c r="O8" s="60"/>
      <c r="P8" s="60"/>
      <c r="Q8" s="60">
        <f>E8</f>
        <v>1315900</v>
      </c>
      <c r="R8" s="60"/>
      <c r="S8" s="60"/>
      <c r="T8" s="60"/>
      <c r="U8" s="61"/>
      <c r="V8" s="61"/>
      <c r="W8" s="60"/>
      <c r="X8" s="60"/>
      <c r="Y8" s="67">
        <f t="shared" ref="Y8:Y71" si="1">E8-I8-M8-N8-O8-P8-Q8-R8-S8-T8-U8-V8-W8</f>
        <v>0</v>
      </c>
    </row>
    <row r="9" spans="1:25" ht="46.5" customHeight="1" x14ac:dyDescent="0.3">
      <c r="A9" s="45">
        <v>2</v>
      </c>
      <c r="B9" s="46" t="s">
        <v>50</v>
      </c>
      <c r="C9" s="47">
        <f>SUM(C10:C14)</f>
        <v>0</v>
      </c>
      <c r="D9" s="47">
        <f>SUM(D10:D14)</f>
        <v>27077000</v>
      </c>
      <c r="E9" s="47">
        <f>SUM(E10:E14)</f>
        <v>27077000</v>
      </c>
      <c r="F9" s="47">
        <f>SUM(F10:F14)</f>
        <v>0</v>
      </c>
      <c r="G9" s="48"/>
      <c r="H9" s="48">
        <f>SUM(H10:H14)</f>
        <v>2</v>
      </c>
      <c r="I9" s="57">
        <f t="shared" ref="I9:W9" si="2">SUM(I10:I14)</f>
        <v>9579000</v>
      </c>
      <c r="J9" s="48">
        <f t="shared" si="2"/>
        <v>4</v>
      </c>
      <c r="K9" s="48"/>
      <c r="L9" s="48"/>
      <c r="M9" s="48">
        <f t="shared" si="2"/>
        <v>0</v>
      </c>
      <c r="N9" s="48">
        <f t="shared" si="2"/>
        <v>658000</v>
      </c>
      <c r="O9" s="48">
        <f t="shared" si="2"/>
        <v>0</v>
      </c>
      <c r="P9" s="48">
        <f t="shared" si="2"/>
        <v>658000</v>
      </c>
      <c r="Q9" s="57">
        <f t="shared" si="2"/>
        <v>14263000</v>
      </c>
      <c r="R9" s="48">
        <f t="shared" si="2"/>
        <v>0</v>
      </c>
      <c r="S9" s="48">
        <f t="shared" si="2"/>
        <v>0</v>
      </c>
      <c r="T9" s="48">
        <f t="shared" si="2"/>
        <v>0</v>
      </c>
      <c r="U9" s="48">
        <f t="shared" si="2"/>
        <v>0</v>
      </c>
      <c r="V9" s="48">
        <f t="shared" si="2"/>
        <v>0</v>
      </c>
      <c r="W9" s="57">
        <f t="shared" si="2"/>
        <v>1919000</v>
      </c>
      <c r="X9" s="57"/>
      <c r="Y9" s="67">
        <f t="shared" si="1"/>
        <v>0</v>
      </c>
    </row>
    <row r="10" spans="1:25" ht="63.75" customHeight="1" x14ac:dyDescent="0.3">
      <c r="A10" s="1"/>
      <c r="B10" s="2" t="s">
        <v>53</v>
      </c>
      <c r="C10" s="33"/>
      <c r="D10" s="33">
        <v>3598000</v>
      </c>
      <c r="E10" s="41">
        <v>3598000</v>
      </c>
      <c r="F10" s="33"/>
      <c r="G10" s="34"/>
      <c r="H10" s="34"/>
      <c r="I10" s="33"/>
      <c r="J10" s="34" t="s">
        <v>4</v>
      </c>
      <c r="K10" s="34"/>
      <c r="L10" s="2" t="s">
        <v>156</v>
      </c>
      <c r="M10" s="60"/>
      <c r="N10" s="60"/>
      <c r="O10" s="60"/>
      <c r="P10" s="60"/>
      <c r="Q10" s="60">
        <v>3110000</v>
      </c>
      <c r="R10" s="60"/>
      <c r="S10" s="60"/>
      <c r="T10" s="60"/>
      <c r="U10" s="61"/>
      <c r="V10" s="61"/>
      <c r="W10" s="60">
        <v>488000</v>
      </c>
      <c r="X10" s="60"/>
      <c r="Y10" s="67">
        <f t="shared" si="1"/>
        <v>0</v>
      </c>
    </row>
    <row r="11" spans="1:25" ht="37.5" x14ac:dyDescent="0.3">
      <c r="A11" s="1"/>
      <c r="B11" s="2" t="s">
        <v>54</v>
      </c>
      <c r="C11" s="33"/>
      <c r="D11" s="33">
        <v>12000000</v>
      </c>
      <c r="E11" s="41">
        <v>12000000</v>
      </c>
      <c r="F11" s="33"/>
      <c r="G11" s="34"/>
      <c r="H11" s="34"/>
      <c r="I11" s="33"/>
      <c r="J11" s="34" t="s">
        <v>4</v>
      </c>
      <c r="K11" s="34"/>
      <c r="L11" s="2" t="s">
        <v>156</v>
      </c>
      <c r="M11" s="60"/>
      <c r="N11" s="60"/>
      <c r="O11" s="60"/>
      <c r="P11" s="60"/>
      <c r="Q11" s="60">
        <v>10589000</v>
      </c>
      <c r="R11" s="60"/>
      <c r="S11" s="60"/>
      <c r="T11" s="60"/>
      <c r="U11" s="61"/>
      <c r="V11" s="61"/>
      <c r="W11" s="60">
        <v>1411000</v>
      </c>
      <c r="X11" s="60"/>
      <c r="Y11" s="67">
        <f t="shared" si="1"/>
        <v>0</v>
      </c>
    </row>
    <row r="12" spans="1:25" ht="70.5" customHeight="1" x14ac:dyDescent="0.3">
      <c r="A12" s="35"/>
      <c r="B12" s="2" t="s">
        <v>55</v>
      </c>
      <c r="C12" s="33"/>
      <c r="D12" s="33">
        <v>2379000</v>
      </c>
      <c r="E12" s="41">
        <v>2379000</v>
      </c>
      <c r="F12" s="37"/>
      <c r="G12" s="38"/>
      <c r="H12" s="34">
        <v>1</v>
      </c>
      <c r="I12" s="33">
        <f>E12</f>
        <v>2379000</v>
      </c>
      <c r="J12" s="34">
        <v>2</v>
      </c>
      <c r="K12" s="34">
        <v>5</v>
      </c>
      <c r="L12" s="2" t="s">
        <v>164</v>
      </c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7">
        <f t="shared" si="1"/>
        <v>0</v>
      </c>
    </row>
    <row r="13" spans="1:25" ht="56.25" x14ac:dyDescent="0.3">
      <c r="A13" s="1"/>
      <c r="B13" s="2" t="s">
        <v>56</v>
      </c>
      <c r="C13" s="33"/>
      <c r="D13" s="33">
        <v>7200000</v>
      </c>
      <c r="E13" s="41">
        <v>7200000</v>
      </c>
      <c r="F13" s="33"/>
      <c r="G13" s="34"/>
      <c r="H13" s="34">
        <v>1</v>
      </c>
      <c r="I13" s="33">
        <f>E13</f>
        <v>7200000</v>
      </c>
      <c r="J13" s="34">
        <v>2</v>
      </c>
      <c r="K13" s="34">
        <v>5</v>
      </c>
      <c r="L13" s="2" t="s">
        <v>160</v>
      </c>
      <c r="M13" s="60"/>
      <c r="N13" s="60"/>
      <c r="O13" s="60"/>
      <c r="P13" s="60"/>
      <c r="Q13" s="60"/>
      <c r="R13" s="60"/>
      <c r="S13" s="60"/>
      <c r="T13" s="60"/>
      <c r="U13" s="61"/>
      <c r="V13" s="61"/>
      <c r="W13" s="60"/>
      <c r="X13" s="60"/>
      <c r="Y13" s="67">
        <f t="shared" si="1"/>
        <v>0</v>
      </c>
    </row>
    <row r="14" spans="1:25" ht="42" customHeight="1" x14ac:dyDescent="0.3">
      <c r="A14" s="1"/>
      <c r="B14" s="2" t="s">
        <v>57</v>
      </c>
      <c r="C14" s="33"/>
      <c r="D14" s="33">
        <v>1900000</v>
      </c>
      <c r="E14" s="41">
        <v>1900000</v>
      </c>
      <c r="F14" s="33"/>
      <c r="G14" s="34"/>
      <c r="H14" s="34"/>
      <c r="I14" s="33"/>
      <c r="J14" s="34" t="s">
        <v>4</v>
      </c>
      <c r="K14" s="34"/>
      <c r="L14" s="2" t="s">
        <v>156</v>
      </c>
      <c r="M14" s="60"/>
      <c r="N14" s="60">
        <v>658000</v>
      </c>
      <c r="O14" s="60"/>
      <c r="P14" s="60">
        <v>658000</v>
      </c>
      <c r="Q14" s="60">
        <v>564000</v>
      </c>
      <c r="R14" s="60"/>
      <c r="S14" s="60"/>
      <c r="T14" s="60"/>
      <c r="U14" s="61"/>
      <c r="V14" s="61"/>
      <c r="W14" s="60">
        <f>E14-N14-P14-Q14</f>
        <v>20000</v>
      </c>
      <c r="X14" s="60"/>
      <c r="Y14" s="67">
        <f t="shared" si="1"/>
        <v>0</v>
      </c>
    </row>
    <row r="15" spans="1:25" ht="37.5" x14ac:dyDescent="0.3">
      <c r="A15" s="45">
        <v>3</v>
      </c>
      <c r="B15" s="46" t="s">
        <v>138</v>
      </c>
      <c r="C15" s="47">
        <f>SUM(C16)</f>
        <v>10000000</v>
      </c>
      <c r="D15" s="47">
        <f>SUM(D16)</f>
        <v>0</v>
      </c>
      <c r="E15" s="47">
        <f>SUM(E16)</f>
        <v>10000000</v>
      </c>
      <c r="F15" s="47">
        <f>SUM(F16)</f>
        <v>2932652.27</v>
      </c>
      <c r="G15" s="48"/>
      <c r="H15" s="57">
        <f>SUM(H16)</f>
        <v>0</v>
      </c>
      <c r="I15" s="57">
        <f t="shared" ref="I15:W15" si="3">SUM(I16)</f>
        <v>0</v>
      </c>
      <c r="J15" s="57">
        <f t="shared" si="3"/>
        <v>0</v>
      </c>
      <c r="K15" s="57">
        <f t="shared" si="3"/>
        <v>0</v>
      </c>
      <c r="L15" s="57">
        <f t="shared" si="3"/>
        <v>0</v>
      </c>
      <c r="M15" s="57">
        <f t="shared" si="3"/>
        <v>2000000</v>
      </c>
      <c r="N15" s="57">
        <f t="shared" si="3"/>
        <v>1000000</v>
      </c>
      <c r="O15" s="57">
        <f t="shared" si="3"/>
        <v>1000000</v>
      </c>
      <c r="P15" s="57">
        <f t="shared" si="3"/>
        <v>1000000</v>
      </c>
      <c r="Q15" s="57">
        <f t="shared" si="3"/>
        <v>1000000</v>
      </c>
      <c r="R15" s="57">
        <f t="shared" si="3"/>
        <v>1000000</v>
      </c>
      <c r="S15" s="57">
        <f t="shared" si="3"/>
        <v>1000000</v>
      </c>
      <c r="T15" s="57">
        <f t="shared" si="3"/>
        <v>1000000</v>
      </c>
      <c r="U15" s="57">
        <f t="shared" si="3"/>
        <v>1000000</v>
      </c>
      <c r="V15" s="57">
        <f t="shared" si="3"/>
        <v>0</v>
      </c>
      <c r="W15" s="57">
        <f t="shared" si="3"/>
        <v>0</v>
      </c>
      <c r="X15" s="63"/>
      <c r="Y15" s="67">
        <f t="shared" si="1"/>
        <v>0</v>
      </c>
    </row>
    <row r="16" spans="1:25" ht="46.5" customHeight="1" x14ac:dyDescent="0.3">
      <c r="A16" s="35"/>
      <c r="B16" s="2" t="s">
        <v>58</v>
      </c>
      <c r="C16" s="33">
        <v>10000000</v>
      </c>
      <c r="D16" s="33"/>
      <c r="E16" s="41">
        <v>10000000</v>
      </c>
      <c r="F16" s="37">
        <v>2932652.27</v>
      </c>
      <c r="G16" s="38"/>
      <c r="H16" s="38">
        <v>0</v>
      </c>
      <c r="I16" s="37"/>
      <c r="J16" s="38"/>
      <c r="K16" s="38"/>
      <c r="L16" s="2" t="s">
        <v>158</v>
      </c>
      <c r="M16" s="60">
        <v>2000000</v>
      </c>
      <c r="N16" s="60">
        <v>1000000</v>
      </c>
      <c r="O16" s="60">
        <v>1000000</v>
      </c>
      <c r="P16" s="60">
        <v>1000000</v>
      </c>
      <c r="Q16" s="60">
        <v>1000000</v>
      </c>
      <c r="R16" s="60">
        <v>1000000</v>
      </c>
      <c r="S16" s="60">
        <v>1000000</v>
      </c>
      <c r="T16" s="60">
        <v>1000000</v>
      </c>
      <c r="U16" s="60">
        <v>1000000</v>
      </c>
      <c r="V16" s="62"/>
      <c r="W16" s="62"/>
      <c r="X16" s="62"/>
      <c r="Y16" s="67">
        <f>E16-I16-M16-N16-O16-P16-Q16-R16-S16-T16-U16-V16-W16</f>
        <v>0</v>
      </c>
    </row>
    <row r="17" spans="1:25" ht="37.5" x14ac:dyDescent="0.3">
      <c r="A17" s="45">
        <v>4</v>
      </c>
      <c r="B17" s="46" t="s">
        <v>126</v>
      </c>
      <c r="C17" s="47">
        <f>SUM(C18:C21)</f>
        <v>21095500</v>
      </c>
      <c r="D17" s="47">
        <f>SUM(D18:D21)</f>
        <v>10000000</v>
      </c>
      <c r="E17" s="47">
        <f>SUM(E18:E21)</f>
        <v>31095500</v>
      </c>
      <c r="F17" s="47">
        <f>SUM(F18:F21)</f>
        <v>672100</v>
      </c>
      <c r="G17" s="48"/>
      <c r="H17" s="48">
        <f>SUM(H18:H21)</f>
        <v>3</v>
      </c>
      <c r="I17" s="47">
        <f>SUM(I18:I21)</f>
        <v>29680000</v>
      </c>
      <c r="J17" s="58"/>
      <c r="K17" s="58"/>
      <c r="L17" s="47">
        <f t="shared" ref="L17:W17" si="4">SUM(L18:L21)</f>
        <v>0</v>
      </c>
      <c r="M17" s="57">
        <f t="shared" si="4"/>
        <v>0</v>
      </c>
      <c r="N17" s="57">
        <f t="shared" si="4"/>
        <v>0</v>
      </c>
      <c r="O17" s="57">
        <f t="shared" si="4"/>
        <v>0</v>
      </c>
      <c r="P17" s="57">
        <f t="shared" si="4"/>
        <v>1415500</v>
      </c>
      <c r="Q17" s="57">
        <f t="shared" si="4"/>
        <v>0</v>
      </c>
      <c r="R17" s="57">
        <f t="shared" si="4"/>
        <v>0</v>
      </c>
      <c r="S17" s="57">
        <f t="shared" si="4"/>
        <v>0</v>
      </c>
      <c r="T17" s="57">
        <f t="shared" si="4"/>
        <v>0</v>
      </c>
      <c r="U17" s="57">
        <f t="shared" si="4"/>
        <v>0</v>
      </c>
      <c r="V17" s="57">
        <f t="shared" si="4"/>
        <v>0</v>
      </c>
      <c r="W17" s="57">
        <f t="shared" si="4"/>
        <v>0</v>
      </c>
      <c r="X17" s="57"/>
      <c r="Y17" s="67">
        <f t="shared" si="1"/>
        <v>0</v>
      </c>
    </row>
    <row r="18" spans="1:25" ht="87.75" customHeight="1" x14ac:dyDescent="0.3">
      <c r="A18" s="35"/>
      <c r="B18" s="2" t="s">
        <v>59</v>
      </c>
      <c r="C18" s="33">
        <v>9930000</v>
      </c>
      <c r="D18" s="33"/>
      <c r="E18" s="41">
        <v>9930000</v>
      </c>
      <c r="F18" s="37"/>
      <c r="G18" s="38"/>
      <c r="H18" s="34">
        <v>1</v>
      </c>
      <c r="I18" s="33">
        <f>E18</f>
        <v>9930000</v>
      </c>
      <c r="J18" s="38">
        <v>2</v>
      </c>
      <c r="K18" s="38">
        <v>5</v>
      </c>
      <c r="L18" s="2" t="s">
        <v>166</v>
      </c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7">
        <f t="shared" si="1"/>
        <v>0</v>
      </c>
    </row>
    <row r="19" spans="1:25" ht="44.25" customHeight="1" x14ac:dyDescent="0.3">
      <c r="A19" s="1"/>
      <c r="B19" s="2" t="s">
        <v>60</v>
      </c>
      <c r="C19" s="33"/>
      <c r="D19" s="33">
        <v>10000000</v>
      </c>
      <c r="E19" s="41">
        <v>10000000</v>
      </c>
      <c r="F19" s="33"/>
      <c r="G19" s="34"/>
      <c r="H19" s="34">
        <v>1</v>
      </c>
      <c r="I19" s="33">
        <f>E19</f>
        <v>10000000</v>
      </c>
      <c r="J19" s="34">
        <v>2</v>
      </c>
      <c r="K19" s="34">
        <v>5</v>
      </c>
      <c r="L19" s="2" t="s">
        <v>167</v>
      </c>
      <c r="M19" s="60"/>
      <c r="N19" s="60"/>
      <c r="O19" s="60"/>
      <c r="P19" s="60"/>
      <c r="Q19" s="60"/>
      <c r="R19" s="60"/>
      <c r="S19" s="60"/>
      <c r="T19" s="60"/>
      <c r="U19" s="61"/>
      <c r="V19" s="61"/>
      <c r="W19" s="60"/>
      <c r="X19" s="60"/>
      <c r="Y19" s="67">
        <f t="shared" si="1"/>
        <v>0</v>
      </c>
    </row>
    <row r="20" spans="1:25" ht="66" customHeight="1" x14ac:dyDescent="0.3">
      <c r="A20" s="1"/>
      <c r="B20" s="2" t="s">
        <v>61</v>
      </c>
      <c r="C20" s="33">
        <v>1415500</v>
      </c>
      <c r="D20" s="33"/>
      <c r="E20" s="41">
        <v>1415500</v>
      </c>
      <c r="F20" s="33">
        <v>672100</v>
      </c>
      <c r="G20" s="34"/>
      <c r="H20" s="34">
        <v>0</v>
      </c>
      <c r="I20" s="33"/>
      <c r="J20" s="34"/>
      <c r="K20" s="34"/>
      <c r="L20" s="2" t="s">
        <v>152</v>
      </c>
      <c r="M20" s="60"/>
      <c r="N20" s="60"/>
      <c r="O20" s="60"/>
      <c r="P20" s="60">
        <f>E20</f>
        <v>1415500</v>
      </c>
      <c r="Q20" s="60"/>
      <c r="R20" s="60"/>
      <c r="S20" s="60"/>
      <c r="T20" s="60"/>
      <c r="U20" s="61"/>
      <c r="V20" s="61"/>
      <c r="W20" s="60"/>
      <c r="X20" s="60"/>
      <c r="Y20" s="67">
        <f t="shared" si="1"/>
        <v>0</v>
      </c>
    </row>
    <row r="21" spans="1:25" ht="39" customHeight="1" x14ac:dyDescent="0.3">
      <c r="A21" s="1"/>
      <c r="B21" s="2" t="s">
        <v>62</v>
      </c>
      <c r="C21" s="33">
        <v>9750000</v>
      </c>
      <c r="D21" s="33"/>
      <c r="E21" s="41">
        <v>9750000</v>
      </c>
      <c r="F21" s="33"/>
      <c r="G21" s="34"/>
      <c r="H21" s="34">
        <v>1</v>
      </c>
      <c r="I21" s="33">
        <f>E21</f>
        <v>9750000</v>
      </c>
      <c r="J21" s="34">
        <v>2</v>
      </c>
      <c r="K21" s="34">
        <v>5</v>
      </c>
      <c r="L21" s="2" t="s">
        <v>162</v>
      </c>
      <c r="M21" s="60"/>
      <c r="N21" s="60"/>
      <c r="O21" s="60"/>
      <c r="P21" s="60"/>
      <c r="Q21" s="60"/>
      <c r="R21" s="60"/>
      <c r="S21" s="60"/>
      <c r="T21" s="60"/>
      <c r="U21" s="61"/>
      <c r="V21" s="61"/>
      <c r="W21" s="60"/>
      <c r="X21" s="60"/>
      <c r="Y21" s="67">
        <f t="shared" si="1"/>
        <v>0</v>
      </c>
    </row>
    <row r="22" spans="1:25" ht="38.25" customHeight="1" x14ac:dyDescent="0.3">
      <c r="A22" s="45">
        <v>4</v>
      </c>
      <c r="B22" s="46" t="s">
        <v>134</v>
      </c>
      <c r="C22" s="47">
        <f>SUM(C23:C25)</f>
        <v>0</v>
      </c>
      <c r="D22" s="47">
        <f>SUM(D23:D25)</f>
        <v>44347000</v>
      </c>
      <c r="E22" s="47">
        <f>SUM(E23:E25)</f>
        <v>44347000</v>
      </c>
      <c r="F22" s="47">
        <f>SUM(F23:F25)</f>
        <v>0</v>
      </c>
      <c r="G22" s="48"/>
      <c r="H22" s="48">
        <f>SUM(H23:H25)</f>
        <v>2</v>
      </c>
      <c r="I22" s="47">
        <f>SUM(I23:I25)</f>
        <v>43000000</v>
      </c>
      <c r="J22" s="58"/>
      <c r="K22" s="58"/>
      <c r="L22" s="47">
        <f t="shared" ref="L22:W22" si="5">SUM(L23:L25)</f>
        <v>0</v>
      </c>
      <c r="M22" s="57">
        <f t="shared" si="5"/>
        <v>0</v>
      </c>
      <c r="N22" s="57">
        <f t="shared" si="5"/>
        <v>0</v>
      </c>
      <c r="O22" s="57">
        <f t="shared" si="5"/>
        <v>0</v>
      </c>
      <c r="P22" s="57">
        <f t="shared" si="5"/>
        <v>1098000</v>
      </c>
      <c r="Q22" s="57">
        <f t="shared" si="5"/>
        <v>0</v>
      </c>
      <c r="R22" s="57">
        <f t="shared" si="5"/>
        <v>0</v>
      </c>
      <c r="S22" s="57">
        <f t="shared" si="5"/>
        <v>0</v>
      </c>
      <c r="T22" s="57">
        <f t="shared" si="5"/>
        <v>0</v>
      </c>
      <c r="U22" s="57">
        <f t="shared" si="5"/>
        <v>0</v>
      </c>
      <c r="V22" s="57">
        <f t="shared" si="5"/>
        <v>0</v>
      </c>
      <c r="W22" s="57">
        <f t="shared" si="5"/>
        <v>249000</v>
      </c>
      <c r="X22" s="57"/>
      <c r="Y22" s="67">
        <f t="shared" si="1"/>
        <v>0</v>
      </c>
    </row>
    <row r="23" spans="1:25" ht="42.75" customHeight="1" x14ac:dyDescent="0.3">
      <c r="A23" s="1"/>
      <c r="B23" s="2" t="s">
        <v>63</v>
      </c>
      <c r="C23" s="33"/>
      <c r="D23" s="33">
        <v>23000000</v>
      </c>
      <c r="E23" s="41">
        <v>23000000</v>
      </c>
      <c r="F23" s="33"/>
      <c r="G23" s="34"/>
      <c r="H23" s="34">
        <v>1</v>
      </c>
      <c r="I23" s="33">
        <f>E23</f>
        <v>23000000</v>
      </c>
      <c r="J23" s="34">
        <v>2</v>
      </c>
      <c r="K23" s="34">
        <v>5</v>
      </c>
      <c r="L23" s="2" t="s">
        <v>157</v>
      </c>
      <c r="M23" s="60"/>
      <c r="N23" s="60"/>
      <c r="O23" s="60"/>
      <c r="P23" s="60"/>
      <c r="Q23" s="60"/>
      <c r="R23" s="60"/>
      <c r="S23" s="60"/>
      <c r="T23" s="60"/>
      <c r="U23" s="61"/>
      <c r="V23" s="61"/>
      <c r="W23" s="60"/>
      <c r="X23" s="60"/>
      <c r="Y23" s="67">
        <f t="shared" si="1"/>
        <v>0</v>
      </c>
    </row>
    <row r="24" spans="1:25" ht="75" x14ac:dyDescent="0.3">
      <c r="A24" s="1"/>
      <c r="B24" s="2" t="s">
        <v>64</v>
      </c>
      <c r="C24" s="33"/>
      <c r="D24" s="33">
        <v>1347000</v>
      </c>
      <c r="E24" s="41">
        <v>1347000</v>
      </c>
      <c r="F24" s="33"/>
      <c r="G24" s="34"/>
      <c r="H24" s="34"/>
      <c r="I24" s="33"/>
      <c r="J24" s="34" t="s">
        <v>4</v>
      </c>
      <c r="K24" s="34"/>
      <c r="L24" s="2" t="s">
        <v>156</v>
      </c>
      <c r="M24" s="60"/>
      <c r="N24" s="60"/>
      <c r="O24" s="60"/>
      <c r="P24" s="60">
        <v>1098000</v>
      </c>
      <c r="Q24" s="60"/>
      <c r="R24" s="60"/>
      <c r="S24" s="60"/>
      <c r="T24" s="60"/>
      <c r="U24" s="61"/>
      <c r="V24" s="61"/>
      <c r="W24" s="60">
        <f>E24-P24</f>
        <v>249000</v>
      </c>
      <c r="X24" s="60"/>
      <c r="Y24" s="67">
        <f t="shared" si="1"/>
        <v>0</v>
      </c>
    </row>
    <row r="25" spans="1:25" ht="42.75" customHeight="1" x14ac:dyDescent="0.3">
      <c r="A25" s="35"/>
      <c r="B25" s="2" t="s">
        <v>65</v>
      </c>
      <c r="C25" s="33"/>
      <c r="D25" s="33">
        <v>20000000</v>
      </c>
      <c r="E25" s="41">
        <v>20000000</v>
      </c>
      <c r="F25" s="37"/>
      <c r="G25" s="38"/>
      <c r="H25" s="38">
        <v>1</v>
      </c>
      <c r="I25" s="33">
        <f>E25</f>
        <v>20000000</v>
      </c>
      <c r="J25" s="38">
        <v>2</v>
      </c>
      <c r="K25" s="38">
        <v>5</v>
      </c>
      <c r="L25" s="2" t="s">
        <v>171</v>
      </c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7">
        <f t="shared" si="1"/>
        <v>0</v>
      </c>
    </row>
    <row r="26" spans="1:25" ht="37.5" x14ac:dyDescent="0.3">
      <c r="A26" s="45">
        <v>5</v>
      </c>
      <c r="B26" s="46" t="s">
        <v>135</v>
      </c>
      <c r="C26" s="47">
        <f>SUM(C27)</f>
        <v>0</v>
      </c>
      <c r="D26" s="47">
        <f t="shared" ref="D26:W26" si="6">SUM(D27)</f>
        <v>5000000</v>
      </c>
      <c r="E26" s="47">
        <f t="shared" si="6"/>
        <v>5000000</v>
      </c>
      <c r="F26" s="57">
        <f t="shared" si="6"/>
        <v>0</v>
      </c>
      <c r="G26" s="57">
        <f t="shared" si="6"/>
        <v>0</v>
      </c>
      <c r="H26" s="58">
        <f t="shared" si="6"/>
        <v>1</v>
      </c>
      <c r="I26" s="57">
        <f t="shared" si="6"/>
        <v>5000000</v>
      </c>
      <c r="J26" s="58"/>
      <c r="K26" s="58"/>
      <c r="L26" s="47">
        <f t="shared" si="6"/>
        <v>0</v>
      </c>
      <c r="M26" s="57">
        <f t="shared" si="6"/>
        <v>0</v>
      </c>
      <c r="N26" s="57">
        <f t="shared" si="6"/>
        <v>0</v>
      </c>
      <c r="O26" s="57">
        <f t="shared" si="6"/>
        <v>0</v>
      </c>
      <c r="P26" s="57">
        <f t="shared" si="6"/>
        <v>0</v>
      </c>
      <c r="Q26" s="57">
        <f t="shared" si="6"/>
        <v>0</v>
      </c>
      <c r="R26" s="57">
        <f t="shared" si="6"/>
        <v>0</v>
      </c>
      <c r="S26" s="57">
        <f t="shared" si="6"/>
        <v>0</v>
      </c>
      <c r="T26" s="57">
        <f t="shared" si="6"/>
        <v>0</v>
      </c>
      <c r="U26" s="57">
        <f t="shared" si="6"/>
        <v>0</v>
      </c>
      <c r="V26" s="57">
        <f t="shared" si="6"/>
        <v>0</v>
      </c>
      <c r="W26" s="57">
        <f t="shared" si="6"/>
        <v>0</v>
      </c>
      <c r="X26" s="63"/>
      <c r="Y26" s="67">
        <f t="shared" si="1"/>
        <v>0</v>
      </c>
    </row>
    <row r="27" spans="1:25" ht="85.5" customHeight="1" x14ac:dyDescent="0.3">
      <c r="A27" s="1"/>
      <c r="B27" s="2" t="s">
        <v>66</v>
      </c>
      <c r="C27" s="33"/>
      <c r="D27" s="33">
        <v>5000000</v>
      </c>
      <c r="E27" s="41">
        <v>5000000</v>
      </c>
      <c r="F27" s="33"/>
      <c r="G27" s="34"/>
      <c r="H27" s="34">
        <v>1</v>
      </c>
      <c r="I27" s="33">
        <v>5000000</v>
      </c>
      <c r="J27" s="34">
        <v>4</v>
      </c>
      <c r="K27" s="34">
        <v>1</v>
      </c>
      <c r="L27" s="2" t="s">
        <v>170</v>
      </c>
      <c r="M27" s="60"/>
      <c r="N27" s="60"/>
      <c r="O27" s="60"/>
      <c r="P27" s="60"/>
      <c r="Q27" s="60"/>
      <c r="R27" s="60"/>
      <c r="S27" s="60"/>
      <c r="T27" s="60"/>
      <c r="U27" s="61"/>
      <c r="V27" s="61"/>
      <c r="W27" s="60"/>
      <c r="X27" s="60"/>
      <c r="Y27" s="67">
        <f t="shared" si="1"/>
        <v>0</v>
      </c>
    </row>
    <row r="28" spans="1:25" ht="67.5" customHeight="1" x14ac:dyDescent="0.3">
      <c r="A28" s="45">
        <v>6</v>
      </c>
      <c r="B28" s="46" t="s">
        <v>136</v>
      </c>
      <c r="C28" s="47">
        <f>SUM(C29:C32)</f>
        <v>0</v>
      </c>
      <c r="D28" s="47">
        <f>SUM(D29:D32)</f>
        <v>35706000</v>
      </c>
      <c r="E28" s="47">
        <f>SUM(E29:E32)</f>
        <v>35706000</v>
      </c>
      <c r="F28" s="47">
        <f>SUM(F29:F32)</f>
        <v>0</v>
      </c>
      <c r="G28" s="48"/>
      <c r="H28" s="48">
        <f>SUM(H29:H32)</f>
        <v>4</v>
      </c>
      <c r="I28" s="47">
        <f>SUM(I29:I32)</f>
        <v>35706000</v>
      </c>
      <c r="J28" s="58"/>
      <c r="K28" s="58"/>
      <c r="L28" s="47">
        <f t="shared" ref="L28:W28" si="7">SUM(L29:L32)</f>
        <v>0</v>
      </c>
      <c r="M28" s="57">
        <f t="shared" si="7"/>
        <v>0</v>
      </c>
      <c r="N28" s="57">
        <f t="shared" si="7"/>
        <v>0</v>
      </c>
      <c r="O28" s="57">
        <f t="shared" si="7"/>
        <v>0</v>
      </c>
      <c r="P28" s="57">
        <f t="shared" si="7"/>
        <v>0</v>
      </c>
      <c r="Q28" s="57">
        <f t="shared" si="7"/>
        <v>0</v>
      </c>
      <c r="R28" s="57">
        <f t="shared" si="7"/>
        <v>0</v>
      </c>
      <c r="S28" s="57">
        <f t="shared" si="7"/>
        <v>0</v>
      </c>
      <c r="T28" s="57">
        <f t="shared" si="7"/>
        <v>0</v>
      </c>
      <c r="U28" s="57">
        <f t="shared" si="7"/>
        <v>0</v>
      </c>
      <c r="V28" s="57">
        <f t="shared" si="7"/>
        <v>0</v>
      </c>
      <c r="W28" s="57">
        <f t="shared" si="7"/>
        <v>0</v>
      </c>
      <c r="X28" s="57"/>
      <c r="Y28" s="67">
        <f t="shared" si="1"/>
        <v>0</v>
      </c>
    </row>
    <row r="29" spans="1:25" ht="63" customHeight="1" x14ac:dyDescent="0.3">
      <c r="A29" s="1"/>
      <c r="B29" s="2" t="s">
        <v>67</v>
      </c>
      <c r="C29" s="33"/>
      <c r="D29" s="33">
        <v>9900000</v>
      </c>
      <c r="E29" s="41">
        <v>9900000</v>
      </c>
      <c r="F29" s="33"/>
      <c r="G29" s="34"/>
      <c r="H29" s="34">
        <v>1</v>
      </c>
      <c r="I29" s="33">
        <f>E29</f>
        <v>9900000</v>
      </c>
      <c r="J29" s="34">
        <v>2</v>
      </c>
      <c r="K29" s="34">
        <v>5</v>
      </c>
      <c r="L29" s="2" t="s">
        <v>149</v>
      </c>
      <c r="M29" s="60"/>
      <c r="N29" s="60"/>
      <c r="O29" s="60"/>
      <c r="P29" s="60"/>
      <c r="Q29" s="60"/>
      <c r="R29" s="60"/>
      <c r="S29" s="60"/>
      <c r="T29" s="60"/>
      <c r="U29" s="61"/>
      <c r="V29" s="61"/>
      <c r="W29" s="60"/>
      <c r="X29" s="60"/>
      <c r="Y29" s="67">
        <f t="shared" si="1"/>
        <v>0</v>
      </c>
    </row>
    <row r="30" spans="1:25" ht="56.25" x14ac:dyDescent="0.3">
      <c r="A30" s="1"/>
      <c r="B30" s="2" t="s">
        <v>68</v>
      </c>
      <c r="C30" s="33"/>
      <c r="D30" s="33">
        <v>9950000</v>
      </c>
      <c r="E30" s="41">
        <v>9950000</v>
      </c>
      <c r="F30" s="33"/>
      <c r="G30" s="34"/>
      <c r="H30" s="34">
        <v>1</v>
      </c>
      <c r="I30" s="33">
        <f>E30</f>
        <v>9950000</v>
      </c>
      <c r="J30" s="34">
        <v>3</v>
      </c>
      <c r="K30" s="34">
        <v>5</v>
      </c>
      <c r="L30" s="2" t="s">
        <v>168</v>
      </c>
      <c r="M30" s="60"/>
      <c r="N30" s="60"/>
      <c r="O30" s="60"/>
      <c r="P30" s="60"/>
      <c r="Q30" s="60"/>
      <c r="R30" s="60"/>
      <c r="S30" s="60"/>
      <c r="T30" s="60"/>
      <c r="U30" s="61"/>
      <c r="V30" s="61"/>
      <c r="W30" s="60"/>
      <c r="X30" s="60"/>
      <c r="Y30" s="67">
        <f t="shared" si="1"/>
        <v>0</v>
      </c>
    </row>
    <row r="31" spans="1:25" ht="45" customHeight="1" x14ac:dyDescent="0.3">
      <c r="A31" s="35"/>
      <c r="B31" s="2" t="s">
        <v>69</v>
      </c>
      <c r="C31" s="33"/>
      <c r="D31" s="33">
        <v>9900000</v>
      </c>
      <c r="E31" s="41">
        <v>9900000</v>
      </c>
      <c r="F31" s="37"/>
      <c r="G31" s="38"/>
      <c r="H31" s="38">
        <v>1</v>
      </c>
      <c r="I31" s="33">
        <f>E31</f>
        <v>9900000</v>
      </c>
      <c r="J31" s="34">
        <v>2</v>
      </c>
      <c r="K31" s="34">
        <v>5</v>
      </c>
      <c r="L31" s="2" t="s">
        <v>149</v>
      </c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7">
        <f t="shared" si="1"/>
        <v>0</v>
      </c>
    </row>
    <row r="32" spans="1:25" ht="37.5" x14ac:dyDescent="0.3">
      <c r="A32" s="1"/>
      <c r="B32" s="2" t="s">
        <v>70</v>
      </c>
      <c r="C32" s="33"/>
      <c r="D32" s="33">
        <v>5956000</v>
      </c>
      <c r="E32" s="41">
        <v>5956000</v>
      </c>
      <c r="F32" s="33"/>
      <c r="G32" s="34"/>
      <c r="H32" s="34">
        <v>1</v>
      </c>
      <c r="I32" s="33">
        <f>E32</f>
        <v>5956000</v>
      </c>
      <c r="J32" s="34">
        <v>2</v>
      </c>
      <c r="K32" s="34">
        <v>5</v>
      </c>
      <c r="L32" s="2" t="s">
        <v>149</v>
      </c>
      <c r="M32" s="60"/>
      <c r="N32" s="60"/>
      <c r="O32" s="60"/>
      <c r="P32" s="60"/>
      <c r="Q32" s="60"/>
      <c r="R32" s="60"/>
      <c r="S32" s="60"/>
      <c r="T32" s="60"/>
      <c r="U32" s="61"/>
      <c r="V32" s="61"/>
      <c r="W32" s="60"/>
      <c r="X32" s="60"/>
      <c r="Y32" s="67">
        <f t="shared" si="1"/>
        <v>0</v>
      </c>
    </row>
    <row r="33" spans="1:25" ht="72" customHeight="1" x14ac:dyDescent="0.3">
      <c r="A33" s="45">
        <v>7</v>
      </c>
      <c r="B33" s="46" t="s">
        <v>137</v>
      </c>
      <c r="C33" s="47">
        <f>SUM(C34:C83)</f>
        <v>0</v>
      </c>
      <c r="D33" s="47">
        <f>SUM(D34:D83)</f>
        <v>252203600</v>
      </c>
      <c r="E33" s="47">
        <f>SUM(E34:E83)</f>
        <v>252203600</v>
      </c>
      <c r="F33" s="47">
        <f>SUM(F34:F83)</f>
        <v>2476000</v>
      </c>
      <c r="G33" s="48"/>
      <c r="H33" s="57">
        <f>SUM(H34:H83)</f>
        <v>24</v>
      </c>
      <c r="I33" s="57">
        <f t="shared" ref="I33:W33" si="8">SUM(I34:I83)</f>
        <v>122277000</v>
      </c>
      <c r="J33" s="57"/>
      <c r="K33" s="57"/>
      <c r="L33" s="57">
        <f t="shared" si="8"/>
        <v>0</v>
      </c>
      <c r="M33" s="57">
        <f t="shared" si="8"/>
        <v>0</v>
      </c>
      <c r="N33" s="57">
        <f t="shared" si="8"/>
        <v>5741000</v>
      </c>
      <c r="O33" s="57">
        <f t="shared" si="8"/>
        <v>25002000</v>
      </c>
      <c r="P33" s="57">
        <f t="shared" si="8"/>
        <v>12156900</v>
      </c>
      <c r="Q33" s="57">
        <f t="shared" si="8"/>
        <v>38051000</v>
      </c>
      <c r="R33" s="57">
        <f t="shared" si="8"/>
        <v>9148000</v>
      </c>
      <c r="S33" s="57">
        <f t="shared" si="8"/>
        <v>9127000</v>
      </c>
      <c r="T33" s="57">
        <f t="shared" si="8"/>
        <v>0</v>
      </c>
      <c r="U33" s="57">
        <f t="shared" si="8"/>
        <v>0</v>
      </c>
      <c r="V33" s="57">
        <f t="shared" si="8"/>
        <v>8839000</v>
      </c>
      <c r="W33" s="57">
        <f t="shared" si="8"/>
        <v>21861700</v>
      </c>
      <c r="X33" s="63"/>
      <c r="Y33" s="67">
        <f t="shared" si="1"/>
        <v>0</v>
      </c>
    </row>
    <row r="34" spans="1:25" ht="93.75" x14ac:dyDescent="0.3">
      <c r="A34" s="1"/>
      <c r="B34" s="2" t="s">
        <v>71</v>
      </c>
      <c r="C34" s="33"/>
      <c r="D34" s="33">
        <v>11500000</v>
      </c>
      <c r="E34" s="41">
        <v>11500000</v>
      </c>
      <c r="F34" s="33"/>
      <c r="G34" s="34"/>
      <c r="H34" s="34">
        <v>1</v>
      </c>
      <c r="I34" s="33">
        <f t="shared" ref="I34:I41" si="9">E34</f>
        <v>11500000</v>
      </c>
      <c r="J34" s="34">
        <v>3</v>
      </c>
      <c r="K34" s="34">
        <v>5</v>
      </c>
      <c r="L34" s="2" t="s">
        <v>151</v>
      </c>
      <c r="M34" s="60"/>
      <c r="N34" s="60"/>
      <c r="O34" s="60"/>
      <c r="P34" s="60"/>
      <c r="Q34" s="60"/>
      <c r="R34" s="60"/>
      <c r="S34" s="60"/>
      <c r="T34" s="60"/>
      <c r="U34" s="61"/>
      <c r="V34" s="61"/>
      <c r="W34" s="60"/>
      <c r="X34" s="60"/>
      <c r="Y34" s="67">
        <f t="shared" si="1"/>
        <v>0</v>
      </c>
    </row>
    <row r="35" spans="1:25" ht="67.5" customHeight="1" x14ac:dyDescent="0.3">
      <c r="A35" s="1"/>
      <c r="B35" s="2" t="s">
        <v>72</v>
      </c>
      <c r="C35" s="33"/>
      <c r="D35" s="33">
        <v>8290000</v>
      </c>
      <c r="E35" s="41">
        <v>8290000</v>
      </c>
      <c r="F35" s="33"/>
      <c r="G35" s="34"/>
      <c r="H35" s="34">
        <v>1</v>
      </c>
      <c r="I35" s="33">
        <f t="shared" si="9"/>
        <v>8290000</v>
      </c>
      <c r="J35" s="34">
        <v>3</v>
      </c>
      <c r="K35" s="34">
        <v>5</v>
      </c>
      <c r="L35" s="2" t="s">
        <v>151</v>
      </c>
      <c r="M35" s="60"/>
      <c r="N35" s="60"/>
      <c r="O35" s="60"/>
      <c r="P35" s="60"/>
      <c r="Q35" s="60"/>
      <c r="R35" s="60"/>
      <c r="S35" s="60"/>
      <c r="T35" s="60"/>
      <c r="U35" s="61"/>
      <c r="V35" s="61"/>
      <c r="W35" s="60"/>
      <c r="X35" s="60"/>
      <c r="Y35" s="67">
        <f t="shared" si="1"/>
        <v>0</v>
      </c>
    </row>
    <row r="36" spans="1:25" ht="87" customHeight="1" x14ac:dyDescent="0.3">
      <c r="A36" s="35"/>
      <c r="B36" s="2" t="s">
        <v>73</v>
      </c>
      <c r="C36" s="33"/>
      <c r="D36" s="33">
        <v>2400000</v>
      </c>
      <c r="E36" s="41">
        <v>2400000</v>
      </c>
      <c r="F36" s="37"/>
      <c r="G36" s="38"/>
      <c r="H36" s="34">
        <v>1</v>
      </c>
      <c r="I36" s="33">
        <f t="shared" si="9"/>
        <v>2400000</v>
      </c>
      <c r="J36" s="38">
        <v>3</v>
      </c>
      <c r="K36" s="38">
        <v>5</v>
      </c>
      <c r="L36" s="2" t="s">
        <v>151</v>
      </c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7">
        <f t="shared" si="1"/>
        <v>0</v>
      </c>
    </row>
    <row r="37" spans="1:25" ht="88.5" customHeight="1" x14ac:dyDescent="0.3">
      <c r="A37" s="1"/>
      <c r="B37" s="2" t="s">
        <v>74</v>
      </c>
      <c r="C37" s="33"/>
      <c r="D37" s="33">
        <v>8886000</v>
      </c>
      <c r="E37" s="41">
        <v>8886000</v>
      </c>
      <c r="F37" s="33"/>
      <c r="G37" s="34"/>
      <c r="H37" s="34">
        <v>1</v>
      </c>
      <c r="I37" s="33">
        <f t="shared" si="9"/>
        <v>8886000</v>
      </c>
      <c r="J37" s="34">
        <v>2</v>
      </c>
      <c r="K37" s="34">
        <v>5</v>
      </c>
      <c r="L37" s="2" t="s">
        <v>149</v>
      </c>
      <c r="M37" s="60"/>
      <c r="N37" s="60"/>
      <c r="O37" s="60"/>
      <c r="P37" s="60"/>
      <c r="Q37" s="60"/>
      <c r="R37" s="60"/>
      <c r="S37" s="60"/>
      <c r="T37" s="60"/>
      <c r="U37" s="61"/>
      <c r="V37" s="61"/>
      <c r="W37" s="60"/>
      <c r="X37" s="60"/>
      <c r="Y37" s="67">
        <f t="shared" si="1"/>
        <v>0</v>
      </c>
    </row>
    <row r="38" spans="1:25" ht="75" x14ac:dyDescent="0.3">
      <c r="A38" s="1"/>
      <c r="B38" s="2" t="s">
        <v>75</v>
      </c>
      <c r="C38" s="33"/>
      <c r="D38" s="33">
        <v>5751000</v>
      </c>
      <c r="E38" s="41">
        <v>5751000</v>
      </c>
      <c r="F38" s="33"/>
      <c r="G38" s="34"/>
      <c r="H38" s="34"/>
      <c r="I38" s="33"/>
      <c r="J38" s="34" t="s">
        <v>4</v>
      </c>
      <c r="K38" s="34"/>
      <c r="L38" s="2"/>
      <c r="M38" s="60"/>
      <c r="N38" s="60"/>
      <c r="O38" s="60"/>
      <c r="P38" s="60"/>
      <c r="Q38" s="60"/>
      <c r="R38" s="60">
        <v>4168000</v>
      </c>
      <c r="S38" s="60"/>
      <c r="T38" s="60"/>
      <c r="U38" s="61"/>
      <c r="V38" s="61"/>
      <c r="W38" s="60">
        <v>1583000</v>
      </c>
      <c r="X38" s="60"/>
      <c r="Y38" s="67">
        <f t="shared" si="1"/>
        <v>0</v>
      </c>
    </row>
    <row r="39" spans="1:25" ht="87.75" customHeight="1" x14ac:dyDescent="0.3">
      <c r="A39" s="35"/>
      <c r="B39" s="2" t="s">
        <v>76</v>
      </c>
      <c r="C39" s="33"/>
      <c r="D39" s="33">
        <v>4091000</v>
      </c>
      <c r="E39" s="41">
        <v>4091000</v>
      </c>
      <c r="F39" s="37"/>
      <c r="G39" s="38"/>
      <c r="H39" s="34"/>
      <c r="I39" s="37"/>
      <c r="J39" s="34" t="s">
        <v>4</v>
      </c>
      <c r="K39" s="38"/>
      <c r="L39" s="2" t="s">
        <v>156</v>
      </c>
      <c r="M39" s="62"/>
      <c r="N39" s="62"/>
      <c r="O39" s="62"/>
      <c r="P39" s="62"/>
      <c r="Q39" s="60">
        <v>3250000</v>
      </c>
      <c r="R39" s="62"/>
      <c r="S39" s="62"/>
      <c r="T39" s="62"/>
      <c r="U39" s="62"/>
      <c r="V39" s="62"/>
      <c r="W39" s="60">
        <f>E39-Q39</f>
        <v>841000</v>
      </c>
      <c r="X39" s="62"/>
      <c r="Y39" s="67">
        <f t="shared" si="1"/>
        <v>0</v>
      </c>
    </row>
    <row r="40" spans="1:25" ht="93.75" x14ac:dyDescent="0.3">
      <c r="A40" s="1"/>
      <c r="B40" s="2" t="s">
        <v>77</v>
      </c>
      <c r="C40" s="33"/>
      <c r="D40" s="33">
        <v>3400000</v>
      </c>
      <c r="E40" s="41">
        <v>3400000</v>
      </c>
      <c r="F40" s="33"/>
      <c r="G40" s="34"/>
      <c r="H40" s="34"/>
      <c r="I40" s="33"/>
      <c r="J40" s="34" t="s">
        <v>4</v>
      </c>
      <c r="K40" s="34"/>
      <c r="L40" s="2"/>
      <c r="M40" s="60"/>
      <c r="N40" s="60"/>
      <c r="O40" s="60"/>
      <c r="P40" s="60"/>
      <c r="Q40" s="60">
        <v>2842000</v>
      </c>
      <c r="R40" s="60"/>
      <c r="S40" s="60"/>
      <c r="T40" s="60"/>
      <c r="U40" s="61"/>
      <c r="V40" s="61"/>
      <c r="W40" s="60">
        <v>558000</v>
      </c>
      <c r="X40" s="60"/>
      <c r="Y40" s="67">
        <f t="shared" si="1"/>
        <v>0</v>
      </c>
    </row>
    <row r="41" spans="1:25" ht="64.5" customHeight="1" x14ac:dyDescent="0.3">
      <c r="A41" s="1"/>
      <c r="B41" s="2" t="s">
        <v>78</v>
      </c>
      <c r="C41" s="33"/>
      <c r="D41" s="33">
        <v>8400000</v>
      </c>
      <c r="E41" s="41">
        <v>8400000</v>
      </c>
      <c r="F41" s="33"/>
      <c r="G41" s="34"/>
      <c r="H41" s="34">
        <v>1</v>
      </c>
      <c r="I41" s="33">
        <f t="shared" si="9"/>
        <v>8400000</v>
      </c>
      <c r="J41" s="34">
        <v>2</v>
      </c>
      <c r="K41" s="34">
        <v>5</v>
      </c>
      <c r="L41" s="2" t="s">
        <v>173</v>
      </c>
      <c r="M41" s="60"/>
      <c r="N41" s="60"/>
      <c r="O41" s="60"/>
      <c r="P41" s="60"/>
      <c r="Q41" s="60"/>
      <c r="R41" s="60"/>
      <c r="S41" s="60"/>
      <c r="T41" s="60"/>
      <c r="U41" s="61"/>
      <c r="V41" s="61"/>
      <c r="W41" s="60"/>
      <c r="X41" s="60"/>
      <c r="Y41" s="67">
        <f t="shared" si="1"/>
        <v>0</v>
      </c>
    </row>
    <row r="42" spans="1:25" ht="56.25" x14ac:dyDescent="0.3">
      <c r="A42" s="1"/>
      <c r="B42" s="2" t="s">
        <v>79</v>
      </c>
      <c r="C42" s="33"/>
      <c r="D42" s="33">
        <v>5980000</v>
      </c>
      <c r="E42" s="41">
        <v>5980000</v>
      </c>
      <c r="F42" s="33"/>
      <c r="G42" s="34"/>
      <c r="H42" s="34">
        <v>1</v>
      </c>
      <c r="I42" s="33">
        <f t="shared" ref="I42:I51" si="10">E42</f>
        <v>5980000</v>
      </c>
      <c r="J42" s="34">
        <v>2</v>
      </c>
      <c r="K42" s="34">
        <v>5</v>
      </c>
      <c r="L42" s="2" t="s">
        <v>149</v>
      </c>
      <c r="M42" s="60"/>
      <c r="N42" s="60"/>
      <c r="O42" s="60"/>
      <c r="P42" s="60"/>
      <c r="Q42" s="60"/>
      <c r="R42" s="60"/>
      <c r="S42" s="60"/>
      <c r="T42" s="60"/>
      <c r="U42" s="61"/>
      <c r="V42" s="61"/>
      <c r="W42" s="60"/>
      <c r="X42" s="60"/>
      <c r="Y42" s="67">
        <f t="shared" si="1"/>
        <v>0</v>
      </c>
    </row>
    <row r="43" spans="1:25" ht="66.75" customHeight="1" x14ac:dyDescent="0.3">
      <c r="A43" s="35"/>
      <c r="B43" s="68" t="s">
        <v>80</v>
      </c>
      <c r="C43" s="33"/>
      <c r="D43" s="33">
        <v>5000000</v>
      </c>
      <c r="E43" s="41">
        <v>5000000</v>
      </c>
      <c r="F43" s="37"/>
      <c r="G43" s="38"/>
      <c r="H43" s="34"/>
      <c r="I43" s="33"/>
      <c r="J43" s="34" t="s">
        <v>4</v>
      </c>
      <c r="K43" s="34"/>
      <c r="L43" s="2" t="s">
        <v>157</v>
      </c>
      <c r="M43" s="62"/>
      <c r="N43" s="62"/>
      <c r="O43" s="62"/>
      <c r="P43" s="62"/>
      <c r="Q43" s="60">
        <v>3740000</v>
      </c>
      <c r="R43" s="62"/>
      <c r="S43" s="62"/>
      <c r="T43" s="62"/>
      <c r="U43" s="62"/>
      <c r="V43" s="62"/>
      <c r="W43" s="62">
        <v>1260000</v>
      </c>
      <c r="X43" s="62"/>
      <c r="Y43" s="67">
        <f t="shared" si="1"/>
        <v>0</v>
      </c>
    </row>
    <row r="44" spans="1:25" ht="66.75" customHeight="1" x14ac:dyDescent="0.3">
      <c r="A44" s="1"/>
      <c r="B44" s="68" t="s">
        <v>81</v>
      </c>
      <c r="C44" s="33"/>
      <c r="D44" s="33">
        <v>1999800</v>
      </c>
      <c r="E44" s="41">
        <v>1999800</v>
      </c>
      <c r="F44" s="33"/>
      <c r="G44" s="34"/>
      <c r="H44" s="34"/>
      <c r="I44" s="33"/>
      <c r="J44" s="34" t="s">
        <v>4</v>
      </c>
      <c r="K44" s="34"/>
      <c r="L44" s="2" t="s">
        <v>157</v>
      </c>
      <c r="M44" s="60"/>
      <c r="N44" s="60"/>
      <c r="O44" s="60"/>
      <c r="P44" s="60">
        <v>1360000</v>
      </c>
      <c r="Q44" s="60"/>
      <c r="R44" s="60"/>
      <c r="S44" s="60"/>
      <c r="T44" s="60"/>
      <c r="U44" s="61"/>
      <c r="V44" s="61"/>
      <c r="W44" s="60">
        <v>639800</v>
      </c>
      <c r="X44" s="60"/>
      <c r="Y44" s="67">
        <f t="shared" si="1"/>
        <v>0</v>
      </c>
    </row>
    <row r="45" spans="1:25" ht="56.25" x14ac:dyDescent="0.3">
      <c r="A45" s="1"/>
      <c r="B45" s="2" t="s">
        <v>82</v>
      </c>
      <c r="C45" s="33"/>
      <c r="D45" s="33">
        <v>1984800</v>
      </c>
      <c r="E45" s="41">
        <v>1984800</v>
      </c>
      <c r="F45" s="33"/>
      <c r="G45" s="34"/>
      <c r="H45" s="34"/>
      <c r="I45" s="33"/>
      <c r="J45" s="34" t="s">
        <v>4</v>
      </c>
      <c r="K45" s="34"/>
      <c r="L45" s="2" t="s">
        <v>156</v>
      </c>
      <c r="M45" s="60"/>
      <c r="N45" s="60"/>
      <c r="O45" s="60"/>
      <c r="P45" s="60">
        <v>1345000</v>
      </c>
      <c r="Q45" s="60"/>
      <c r="R45" s="60"/>
      <c r="S45" s="60"/>
      <c r="T45" s="60"/>
      <c r="U45" s="61"/>
      <c r="V45" s="61"/>
      <c r="W45" s="60">
        <f>E45-P45</f>
        <v>639800</v>
      </c>
      <c r="X45" s="60"/>
      <c r="Y45" s="67">
        <f t="shared" si="1"/>
        <v>0</v>
      </c>
    </row>
    <row r="46" spans="1:25" ht="65.25" customHeight="1" x14ac:dyDescent="0.3">
      <c r="A46" s="35"/>
      <c r="B46" s="2" t="s">
        <v>83</v>
      </c>
      <c r="C46" s="33"/>
      <c r="D46" s="33">
        <v>1992000</v>
      </c>
      <c r="E46" s="41">
        <v>1992000</v>
      </c>
      <c r="F46" s="37"/>
      <c r="G46" s="38"/>
      <c r="H46" s="34">
        <v>1</v>
      </c>
      <c r="I46" s="33">
        <f t="shared" si="10"/>
        <v>1992000</v>
      </c>
      <c r="J46" s="38">
        <v>2</v>
      </c>
      <c r="K46" s="38">
        <v>5</v>
      </c>
      <c r="L46" s="2" t="s">
        <v>172</v>
      </c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7">
        <f t="shared" si="1"/>
        <v>0</v>
      </c>
    </row>
    <row r="47" spans="1:25" ht="56.25" x14ac:dyDescent="0.3">
      <c r="A47" s="1"/>
      <c r="B47" s="2" t="s">
        <v>84</v>
      </c>
      <c r="C47" s="33"/>
      <c r="D47" s="33">
        <v>1965000</v>
      </c>
      <c r="E47" s="41">
        <v>1965000</v>
      </c>
      <c r="F47" s="33"/>
      <c r="G47" s="34"/>
      <c r="H47" s="34">
        <v>1</v>
      </c>
      <c r="I47" s="33">
        <f t="shared" si="10"/>
        <v>1965000</v>
      </c>
      <c r="J47" s="34">
        <v>2</v>
      </c>
      <c r="K47" s="34">
        <v>5</v>
      </c>
      <c r="L47" s="2" t="s">
        <v>172</v>
      </c>
      <c r="M47" s="60"/>
      <c r="N47" s="60"/>
      <c r="O47" s="60"/>
      <c r="P47" s="60"/>
      <c r="Q47" s="60"/>
      <c r="R47" s="60"/>
      <c r="S47" s="60"/>
      <c r="T47" s="60"/>
      <c r="U47" s="61"/>
      <c r="V47" s="61"/>
      <c r="W47" s="60"/>
      <c r="X47" s="60"/>
      <c r="Y47" s="67">
        <f t="shared" si="1"/>
        <v>0</v>
      </c>
    </row>
    <row r="48" spans="1:25" ht="68.25" customHeight="1" x14ac:dyDescent="0.3">
      <c r="A48" s="1"/>
      <c r="B48" s="2" t="s">
        <v>85</v>
      </c>
      <c r="C48" s="33"/>
      <c r="D48" s="33">
        <v>1262000</v>
      </c>
      <c r="E48" s="41">
        <v>1262000</v>
      </c>
      <c r="F48" s="33"/>
      <c r="G48" s="34"/>
      <c r="H48" s="34">
        <v>1</v>
      </c>
      <c r="I48" s="33">
        <f t="shared" si="10"/>
        <v>1262000</v>
      </c>
      <c r="J48" s="34">
        <v>2</v>
      </c>
      <c r="K48" s="34">
        <v>5</v>
      </c>
      <c r="L48" s="2" t="s">
        <v>172</v>
      </c>
      <c r="M48" s="60"/>
      <c r="N48" s="60"/>
      <c r="O48" s="60"/>
      <c r="P48" s="60"/>
      <c r="Q48" s="60"/>
      <c r="R48" s="60"/>
      <c r="S48" s="60"/>
      <c r="T48" s="60"/>
      <c r="U48" s="61"/>
      <c r="V48" s="61"/>
      <c r="W48" s="60"/>
      <c r="X48" s="60"/>
      <c r="Y48" s="67">
        <f t="shared" si="1"/>
        <v>0</v>
      </c>
    </row>
    <row r="49" spans="1:25" ht="56.25" x14ac:dyDescent="0.3">
      <c r="A49" s="1"/>
      <c r="B49" s="2" t="s">
        <v>86</v>
      </c>
      <c r="C49" s="33"/>
      <c r="D49" s="33">
        <v>14186000</v>
      </c>
      <c r="E49" s="41">
        <v>14186000</v>
      </c>
      <c r="F49" s="33"/>
      <c r="G49" s="34"/>
      <c r="H49" s="34"/>
      <c r="I49" s="33"/>
      <c r="J49" s="34" t="s">
        <v>4</v>
      </c>
      <c r="K49" s="34"/>
      <c r="L49" s="2" t="s">
        <v>156</v>
      </c>
      <c r="M49" s="60"/>
      <c r="N49" s="60">
        <v>1396000</v>
      </c>
      <c r="O49" s="60">
        <v>2792000</v>
      </c>
      <c r="P49" s="60">
        <v>2792000</v>
      </c>
      <c r="Q49" s="60">
        <v>2792000</v>
      </c>
      <c r="R49" s="60"/>
      <c r="S49" s="60">
        <v>4188000</v>
      </c>
      <c r="T49" s="60"/>
      <c r="U49" s="61"/>
      <c r="V49" s="61"/>
      <c r="W49" s="60">
        <f>E49-N49-O49-P49-Q49-S49</f>
        <v>226000</v>
      </c>
      <c r="X49" s="60"/>
      <c r="Y49" s="67">
        <f t="shared" si="1"/>
        <v>0</v>
      </c>
    </row>
    <row r="50" spans="1:25" ht="72" customHeight="1" x14ac:dyDescent="0.3">
      <c r="A50" s="35"/>
      <c r="B50" s="2" t="s">
        <v>87</v>
      </c>
      <c r="C50" s="33"/>
      <c r="D50" s="33">
        <v>6964000</v>
      </c>
      <c r="E50" s="41">
        <v>6964000</v>
      </c>
      <c r="F50" s="37"/>
      <c r="G50" s="38"/>
      <c r="H50" s="34"/>
      <c r="I50" s="33"/>
      <c r="J50" s="34" t="s">
        <v>4</v>
      </c>
      <c r="K50" s="34"/>
      <c r="L50" s="2" t="s">
        <v>156</v>
      </c>
      <c r="M50" s="62"/>
      <c r="N50" s="60">
        <v>1989000</v>
      </c>
      <c r="O50" s="60">
        <v>1989000</v>
      </c>
      <c r="P50" s="60"/>
      <c r="Q50" s="60">
        <v>2652000</v>
      </c>
      <c r="R50" s="62"/>
      <c r="S50" s="62"/>
      <c r="T50" s="62"/>
      <c r="U50" s="62"/>
      <c r="V50" s="62"/>
      <c r="W50" s="60">
        <f>E50-N50-O50-Q50</f>
        <v>334000</v>
      </c>
      <c r="X50" s="62"/>
      <c r="Y50" s="67">
        <f t="shared" si="1"/>
        <v>0</v>
      </c>
    </row>
    <row r="51" spans="1:25" ht="72" customHeight="1" x14ac:dyDescent="0.3">
      <c r="A51" s="1"/>
      <c r="B51" s="2" t="s">
        <v>88</v>
      </c>
      <c r="C51" s="33"/>
      <c r="D51" s="33">
        <v>4504000</v>
      </c>
      <c r="E51" s="41">
        <v>4504000</v>
      </c>
      <c r="F51" s="33"/>
      <c r="G51" s="34"/>
      <c r="H51" s="34">
        <v>1</v>
      </c>
      <c r="I51" s="33">
        <f t="shared" si="10"/>
        <v>4504000</v>
      </c>
      <c r="J51" s="34">
        <v>2</v>
      </c>
      <c r="K51" s="34">
        <v>5</v>
      </c>
      <c r="L51" s="2" t="s">
        <v>160</v>
      </c>
      <c r="M51" s="60"/>
      <c r="N51" s="60"/>
      <c r="O51" s="60"/>
      <c r="P51" s="60"/>
      <c r="Q51" s="60"/>
      <c r="R51" s="60"/>
      <c r="S51" s="60"/>
      <c r="T51" s="60"/>
      <c r="U51" s="61"/>
      <c r="V51" s="61"/>
      <c r="W51" s="60"/>
      <c r="X51" s="60"/>
      <c r="Y51" s="67">
        <f t="shared" si="1"/>
        <v>0</v>
      </c>
    </row>
    <row r="52" spans="1:25" ht="75" x14ac:dyDescent="0.3">
      <c r="A52" s="1"/>
      <c r="B52" s="2" t="s">
        <v>89</v>
      </c>
      <c r="C52" s="33"/>
      <c r="D52" s="33">
        <v>8749000</v>
      </c>
      <c r="E52" s="41">
        <v>8749000</v>
      </c>
      <c r="F52" s="33"/>
      <c r="G52" s="34"/>
      <c r="H52" s="34"/>
      <c r="I52" s="33"/>
      <c r="J52" s="34" t="s">
        <v>4</v>
      </c>
      <c r="K52" s="34"/>
      <c r="L52" s="2" t="s">
        <v>156</v>
      </c>
      <c r="M52" s="60"/>
      <c r="N52" s="60"/>
      <c r="O52" s="60"/>
      <c r="P52" s="60"/>
      <c r="Q52" s="60">
        <v>8720000</v>
      </c>
      <c r="R52" s="60"/>
      <c r="S52" s="60"/>
      <c r="T52" s="60"/>
      <c r="U52" s="61"/>
      <c r="V52" s="61"/>
      <c r="W52" s="60">
        <f>E52-Q52</f>
        <v>29000</v>
      </c>
      <c r="X52" s="60"/>
      <c r="Y52" s="67">
        <f t="shared" si="1"/>
        <v>0</v>
      </c>
    </row>
    <row r="53" spans="1:25" ht="92.25" customHeight="1" x14ac:dyDescent="0.3">
      <c r="A53" s="35"/>
      <c r="B53" s="2" t="s">
        <v>90</v>
      </c>
      <c r="C53" s="33"/>
      <c r="D53" s="33">
        <v>3080000</v>
      </c>
      <c r="E53" s="41">
        <v>3080000</v>
      </c>
      <c r="F53" s="37"/>
      <c r="G53" s="38"/>
      <c r="H53" s="34"/>
      <c r="I53" s="37"/>
      <c r="J53" s="34" t="s">
        <v>4</v>
      </c>
      <c r="K53" s="38"/>
      <c r="L53" s="2" t="s">
        <v>156</v>
      </c>
      <c r="M53" s="62"/>
      <c r="N53" s="62"/>
      <c r="O53" s="62"/>
      <c r="P53" s="62"/>
      <c r="Q53" s="60">
        <v>2598000</v>
      </c>
      <c r="R53" s="62"/>
      <c r="S53" s="62"/>
      <c r="T53" s="62"/>
      <c r="U53" s="62"/>
      <c r="V53" s="62"/>
      <c r="W53" s="60">
        <f>E53-Q53</f>
        <v>482000</v>
      </c>
      <c r="X53" s="62"/>
      <c r="Y53" s="67">
        <f t="shared" si="1"/>
        <v>0</v>
      </c>
    </row>
    <row r="54" spans="1:25" ht="56.25" x14ac:dyDescent="0.3">
      <c r="A54" s="1"/>
      <c r="B54" s="2" t="s">
        <v>91</v>
      </c>
      <c r="C54" s="33"/>
      <c r="D54" s="33">
        <v>1827000</v>
      </c>
      <c r="E54" s="41">
        <v>1827000</v>
      </c>
      <c r="F54" s="33"/>
      <c r="G54" s="34"/>
      <c r="H54" s="34"/>
      <c r="I54" s="33"/>
      <c r="J54" s="34" t="s">
        <v>4</v>
      </c>
      <c r="K54" s="34"/>
      <c r="L54" s="2" t="s">
        <v>156</v>
      </c>
      <c r="M54" s="60"/>
      <c r="N54" s="60"/>
      <c r="O54" s="60">
        <v>1820000</v>
      </c>
      <c r="P54" s="60"/>
      <c r="Q54" s="60"/>
      <c r="R54" s="60"/>
      <c r="S54" s="60"/>
      <c r="T54" s="60"/>
      <c r="U54" s="61"/>
      <c r="V54" s="61"/>
      <c r="W54" s="60">
        <f>E54-O54</f>
        <v>7000</v>
      </c>
      <c r="X54" s="60"/>
      <c r="Y54" s="67">
        <f t="shared" si="1"/>
        <v>0</v>
      </c>
    </row>
    <row r="55" spans="1:25" ht="94.5" customHeight="1" x14ac:dyDescent="0.3">
      <c r="A55" s="1"/>
      <c r="B55" s="2" t="s">
        <v>92</v>
      </c>
      <c r="C55" s="33"/>
      <c r="D55" s="33">
        <v>1674000</v>
      </c>
      <c r="E55" s="41">
        <v>1674000</v>
      </c>
      <c r="F55" s="33"/>
      <c r="G55" s="34"/>
      <c r="H55" s="34"/>
      <c r="I55" s="33"/>
      <c r="J55" s="34" t="s">
        <v>4</v>
      </c>
      <c r="K55" s="34"/>
      <c r="L55" s="2" t="s">
        <v>156</v>
      </c>
      <c r="M55" s="60"/>
      <c r="N55" s="60"/>
      <c r="O55" s="60">
        <v>1669000</v>
      </c>
      <c r="P55" s="60"/>
      <c r="Q55" s="60"/>
      <c r="R55" s="60"/>
      <c r="S55" s="60"/>
      <c r="T55" s="60"/>
      <c r="U55" s="61"/>
      <c r="V55" s="61"/>
      <c r="W55" s="60">
        <f>E55-O55</f>
        <v>5000</v>
      </c>
      <c r="X55" s="60"/>
      <c r="Y55" s="67">
        <f t="shared" si="1"/>
        <v>0</v>
      </c>
    </row>
    <row r="56" spans="1:25" ht="56.25" x14ac:dyDescent="0.3">
      <c r="A56" s="1"/>
      <c r="B56" s="2" t="s">
        <v>93</v>
      </c>
      <c r="C56" s="33"/>
      <c r="D56" s="33">
        <v>14223000</v>
      </c>
      <c r="E56" s="41">
        <v>14223000</v>
      </c>
      <c r="F56" s="33"/>
      <c r="G56" s="34"/>
      <c r="H56" s="34">
        <v>1</v>
      </c>
      <c r="I56" s="33">
        <f>E56</f>
        <v>14223000</v>
      </c>
      <c r="J56" s="34">
        <v>2</v>
      </c>
      <c r="K56" s="34">
        <v>5</v>
      </c>
      <c r="L56" s="2" t="s">
        <v>150</v>
      </c>
      <c r="M56" s="60"/>
      <c r="N56" s="60"/>
      <c r="O56" s="60"/>
      <c r="P56" s="60"/>
      <c r="Q56" s="60"/>
      <c r="R56" s="60"/>
      <c r="S56" s="60"/>
      <c r="T56" s="60"/>
      <c r="U56" s="61"/>
      <c r="V56" s="61"/>
      <c r="W56" s="60"/>
      <c r="X56" s="60"/>
      <c r="Y56" s="67">
        <f t="shared" si="1"/>
        <v>0</v>
      </c>
    </row>
    <row r="57" spans="1:25" ht="87.75" customHeight="1" x14ac:dyDescent="0.3">
      <c r="A57" s="35"/>
      <c r="B57" s="2" t="s">
        <v>94</v>
      </c>
      <c r="C57" s="33"/>
      <c r="D57" s="33">
        <v>2681000</v>
      </c>
      <c r="E57" s="41">
        <v>2681000</v>
      </c>
      <c r="F57" s="33">
        <v>2476000</v>
      </c>
      <c r="G57" s="38"/>
      <c r="H57" s="34"/>
      <c r="I57" s="37"/>
      <c r="J57" s="34" t="s">
        <v>4</v>
      </c>
      <c r="K57" s="38"/>
      <c r="L57" s="2" t="s">
        <v>156</v>
      </c>
      <c r="M57" s="62"/>
      <c r="N57" s="62"/>
      <c r="O57" s="62">
        <v>2476000</v>
      </c>
      <c r="P57" s="62"/>
      <c r="Q57" s="62"/>
      <c r="R57" s="62"/>
      <c r="S57" s="62"/>
      <c r="T57" s="62"/>
      <c r="U57" s="62"/>
      <c r="V57" s="62"/>
      <c r="W57" s="62">
        <f>E57-O57</f>
        <v>205000</v>
      </c>
      <c r="X57" s="62"/>
      <c r="Y57" s="67">
        <f t="shared" si="1"/>
        <v>0</v>
      </c>
    </row>
    <row r="58" spans="1:25" ht="72.75" customHeight="1" x14ac:dyDescent="0.3">
      <c r="A58" s="1"/>
      <c r="B58" s="2" t="s">
        <v>141</v>
      </c>
      <c r="C58" s="33"/>
      <c r="D58" s="33">
        <v>1635000</v>
      </c>
      <c r="E58" s="41">
        <v>1635000</v>
      </c>
      <c r="F58" s="33"/>
      <c r="G58" s="34"/>
      <c r="H58" s="34"/>
      <c r="I58" s="33"/>
      <c r="J58" s="34" t="s">
        <v>4</v>
      </c>
      <c r="K58" s="34"/>
      <c r="L58" s="2" t="s">
        <v>156</v>
      </c>
      <c r="M58" s="60"/>
      <c r="N58" s="60"/>
      <c r="O58" s="60">
        <v>1330000</v>
      </c>
      <c r="P58" s="60"/>
      <c r="Q58" s="60"/>
      <c r="R58" s="60"/>
      <c r="S58" s="60"/>
      <c r="T58" s="60"/>
      <c r="U58" s="61"/>
      <c r="V58" s="61"/>
      <c r="W58" s="60">
        <f>E58-O58</f>
        <v>305000</v>
      </c>
      <c r="X58" s="60"/>
      <c r="Y58" s="67">
        <f t="shared" si="1"/>
        <v>0</v>
      </c>
    </row>
    <row r="59" spans="1:25" ht="93.75" x14ac:dyDescent="0.3">
      <c r="A59" s="1"/>
      <c r="B59" s="2" t="s">
        <v>140</v>
      </c>
      <c r="C59" s="33"/>
      <c r="D59" s="33">
        <v>1310000</v>
      </c>
      <c r="E59" s="41">
        <v>1310000</v>
      </c>
      <c r="F59" s="33"/>
      <c r="G59" s="34"/>
      <c r="H59" s="34"/>
      <c r="I59" s="33"/>
      <c r="J59" s="34" t="s">
        <v>4</v>
      </c>
      <c r="K59" s="34"/>
      <c r="L59" s="2" t="s">
        <v>156</v>
      </c>
      <c r="M59" s="60"/>
      <c r="N59" s="60"/>
      <c r="O59" s="60">
        <v>1310000</v>
      </c>
      <c r="P59" s="60"/>
      <c r="Q59" s="60"/>
      <c r="R59" s="60"/>
      <c r="S59" s="60"/>
      <c r="T59" s="60"/>
      <c r="U59" s="61"/>
      <c r="V59" s="61"/>
      <c r="W59" s="60">
        <f>E59-O59</f>
        <v>0</v>
      </c>
      <c r="X59" s="60"/>
      <c r="Y59" s="67">
        <f t="shared" si="1"/>
        <v>0</v>
      </c>
    </row>
    <row r="60" spans="1:25" ht="93.75" customHeight="1" x14ac:dyDescent="0.3">
      <c r="A60" s="35"/>
      <c r="B60" s="2" t="s">
        <v>95</v>
      </c>
      <c r="C60" s="33"/>
      <c r="D60" s="33">
        <v>4549000</v>
      </c>
      <c r="E60" s="41">
        <v>4549000</v>
      </c>
      <c r="F60" s="37"/>
      <c r="G60" s="38"/>
      <c r="H60" s="34">
        <v>1</v>
      </c>
      <c r="I60" s="33">
        <f t="shared" ref="I60:I73" si="11">E60</f>
        <v>4549000</v>
      </c>
      <c r="J60" s="34">
        <v>2</v>
      </c>
      <c r="K60" s="34">
        <v>5</v>
      </c>
      <c r="L60" s="2" t="s">
        <v>159</v>
      </c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7">
        <f t="shared" si="1"/>
        <v>0</v>
      </c>
    </row>
    <row r="61" spans="1:25" ht="75" x14ac:dyDescent="0.3">
      <c r="A61" s="1"/>
      <c r="B61" s="2" t="s">
        <v>96</v>
      </c>
      <c r="C61" s="33"/>
      <c r="D61" s="33">
        <v>2160000</v>
      </c>
      <c r="E61" s="41">
        <v>2160000</v>
      </c>
      <c r="F61" s="33"/>
      <c r="G61" s="34"/>
      <c r="H61" s="34">
        <v>1</v>
      </c>
      <c r="I61" s="33">
        <f t="shared" si="11"/>
        <v>2160000</v>
      </c>
      <c r="J61" s="34">
        <v>2</v>
      </c>
      <c r="K61" s="34">
        <v>5</v>
      </c>
      <c r="L61" s="2" t="s">
        <v>150</v>
      </c>
      <c r="M61" s="60"/>
      <c r="N61" s="60"/>
      <c r="O61" s="60"/>
      <c r="P61" s="60"/>
      <c r="Q61" s="60"/>
      <c r="R61" s="60"/>
      <c r="S61" s="60"/>
      <c r="T61" s="60"/>
      <c r="U61" s="61"/>
      <c r="V61" s="61"/>
      <c r="W61" s="60"/>
      <c r="X61" s="60"/>
      <c r="Y61" s="67">
        <f t="shared" si="1"/>
        <v>0</v>
      </c>
    </row>
    <row r="62" spans="1:25" ht="114.75" customHeight="1" x14ac:dyDescent="0.3">
      <c r="A62" s="1"/>
      <c r="B62" s="2" t="s">
        <v>97</v>
      </c>
      <c r="C62" s="33"/>
      <c r="D62" s="33">
        <v>2167000</v>
      </c>
      <c r="E62" s="41">
        <v>2167000</v>
      </c>
      <c r="F62" s="33"/>
      <c r="G62" s="34"/>
      <c r="H62" s="34">
        <v>1</v>
      </c>
      <c r="I62" s="33">
        <f t="shared" si="11"/>
        <v>2167000</v>
      </c>
      <c r="J62" s="34">
        <v>2</v>
      </c>
      <c r="K62" s="34">
        <v>5</v>
      </c>
      <c r="L62" s="2" t="s">
        <v>160</v>
      </c>
      <c r="M62" s="60"/>
      <c r="N62" s="60"/>
      <c r="O62" s="60"/>
      <c r="P62" s="60"/>
      <c r="Q62" s="60"/>
      <c r="R62" s="60"/>
      <c r="S62" s="60"/>
      <c r="T62" s="60"/>
      <c r="U62" s="61"/>
      <c r="V62" s="61"/>
      <c r="W62" s="60"/>
      <c r="X62" s="60"/>
      <c r="Y62" s="67">
        <f t="shared" si="1"/>
        <v>0</v>
      </c>
    </row>
    <row r="63" spans="1:25" ht="75" x14ac:dyDescent="0.3">
      <c r="A63" s="1"/>
      <c r="B63" s="68" t="s">
        <v>98</v>
      </c>
      <c r="C63" s="33"/>
      <c r="D63" s="33">
        <v>1442000</v>
      </c>
      <c r="E63" s="41">
        <v>1442000</v>
      </c>
      <c r="F63" s="33"/>
      <c r="G63" s="34"/>
      <c r="H63" s="34"/>
      <c r="I63" s="33"/>
      <c r="J63" s="34" t="s">
        <v>4</v>
      </c>
      <c r="K63" s="34"/>
      <c r="L63" s="2" t="s">
        <v>157</v>
      </c>
      <c r="M63" s="60"/>
      <c r="N63" s="60"/>
      <c r="O63" s="60"/>
      <c r="P63" s="60">
        <v>1355000</v>
      </c>
      <c r="Q63" s="60"/>
      <c r="R63" s="60"/>
      <c r="S63" s="60"/>
      <c r="T63" s="60"/>
      <c r="U63" s="61"/>
      <c r="V63" s="61"/>
      <c r="W63" s="60">
        <v>87000</v>
      </c>
      <c r="X63" s="60"/>
      <c r="Y63" s="67">
        <f t="shared" si="1"/>
        <v>0</v>
      </c>
    </row>
    <row r="64" spans="1:25" ht="56.25" x14ac:dyDescent="0.3">
      <c r="A64" s="1"/>
      <c r="B64" s="2" t="s">
        <v>99</v>
      </c>
      <c r="C64" s="33"/>
      <c r="D64" s="33">
        <v>7012000</v>
      </c>
      <c r="E64" s="41">
        <v>7012000</v>
      </c>
      <c r="F64" s="33"/>
      <c r="G64" s="34"/>
      <c r="H64" s="34">
        <v>1</v>
      </c>
      <c r="I64" s="33">
        <f t="shared" si="11"/>
        <v>7012000</v>
      </c>
      <c r="J64" s="34">
        <v>2</v>
      </c>
      <c r="K64" s="34">
        <v>5</v>
      </c>
      <c r="L64" s="2" t="s">
        <v>160</v>
      </c>
      <c r="M64" s="60"/>
      <c r="N64" s="60"/>
      <c r="O64" s="60"/>
      <c r="P64" s="60"/>
      <c r="Q64" s="60"/>
      <c r="R64" s="60"/>
      <c r="S64" s="60"/>
      <c r="T64" s="60"/>
      <c r="U64" s="61"/>
      <c r="V64" s="61"/>
      <c r="W64" s="60"/>
      <c r="X64" s="60"/>
      <c r="Y64" s="67">
        <f t="shared" si="1"/>
        <v>0</v>
      </c>
    </row>
    <row r="65" spans="1:25" ht="66" customHeight="1" x14ac:dyDescent="0.3">
      <c r="A65" s="35"/>
      <c r="B65" s="2" t="s">
        <v>100</v>
      </c>
      <c r="C65" s="33"/>
      <c r="D65" s="33">
        <v>1612000</v>
      </c>
      <c r="E65" s="41">
        <v>1612000</v>
      </c>
      <c r="F65" s="37"/>
      <c r="G65" s="38"/>
      <c r="H65" s="34">
        <v>1</v>
      </c>
      <c r="I65" s="33">
        <f t="shared" si="11"/>
        <v>1612000</v>
      </c>
      <c r="J65" s="34">
        <v>2</v>
      </c>
      <c r="K65" s="34">
        <v>5</v>
      </c>
      <c r="L65" s="2" t="s">
        <v>150</v>
      </c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7">
        <f t="shared" si="1"/>
        <v>0</v>
      </c>
    </row>
    <row r="66" spans="1:25" ht="66" customHeight="1" x14ac:dyDescent="0.3">
      <c r="A66" s="1"/>
      <c r="B66" s="68" t="s">
        <v>101</v>
      </c>
      <c r="C66" s="33"/>
      <c r="D66" s="33">
        <v>13000000</v>
      </c>
      <c r="E66" s="41">
        <v>13000000</v>
      </c>
      <c r="F66" s="33"/>
      <c r="G66" s="34"/>
      <c r="H66" s="34"/>
      <c r="I66" s="33"/>
      <c r="J66" s="34" t="s">
        <v>4</v>
      </c>
      <c r="K66" s="34"/>
      <c r="L66" s="2"/>
      <c r="M66" s="60"/>
      <c r="N66" s="60"/>
      <c r="O66" s="60"/>
      <c r="P66" s="60"/>
      <c r="Q66" s="60"/>
      <c r="R66" s="60"/>
      <c r="S66" s="60"/>
      <c r="T66" s="60"/>
      <c r="U66" s="61"/>
      <c r="V66" s="61">
        <v>8839000</v>
      </c>
      <c r="W66" s="60">
        <v>4161000</v>
      </c>
      <c r="X66" s="60"/>
      <c r="Y66" s="67">
        <f t="shared" si="1"/>
        <v>0</v>
      </c>
    </row>
    <row r="67" spans="1:25" ht="75" x14ac:dyDescent="0.3">
      <c r="A67" s="1"/>
      <c r="B67" s="68" t="s">
        <v>102</v>
      </c>
      <c r="C67" s="33"/>
      <c r="D67" s="33">
        <v>7148000</v>
      </c>
      <c r="E67" s="41">
        <v>7148000</v>
      </c>
      <c r="F67" s="33"/>
      <c r="G67" s="34"/>
      <c r="H67" s="34"/>
      <c r="I67" s="33"/>
      <c r="J67" s="34" t="s">
        <v>4</v>
      </c>
      <c r="K67" s="34"/>
      <c r="L67" s="2"/>
      <c r="M67" s="60"/>
      <c r="N67" s="60"/>
      <c r="O67" s="60"/>
      <c r="P67" s="60"/>
      <c r="Q67" s="60"/>
      <c r="R67" s="60"/>
      <c r="S67" s="60">
        <v>4939000</v>
      </c>
      <c r="T67" s="60"/>
      <c r="U67" s="61"/>
      <c r="V67" s="61"/>
      <c r="W67" s="60">
        <v>2209000</v>
      </c>
      <c r="X67" s="60"/>
      <c r="Y67" s="67">
        <f t="shared" si="1"/>
        <v>0</v>
      </c>
    </row>
    <row r="68" spans="1:25" ht="93" customHeight="1" x14ac:dyDescent="0.3">
      <c r="A68" s="35"/>
      <c r="B68" s="2" t="s">
        <v>103</v>
      </c>
      <c r="C68" s="33"/>
      <c r="D68" s="33">
        <v>7210000</v>
      </c>
      <c r="E68" s="41">
        <v>7210000</v>
      </c>
      <c r="F68" s="37"/>
      <c r="G68" s="38"/>
      <c r="H68" s="34"/>
      <c r="I68" s="37"/>
      <c r="J68" s="34" t="s">
        <v>4</v>
      </c>
      <c r="K68" s="38"/>
      <c r="L68" s="2"/>
      <c r="M68" s="62"/>
      <c r="N68" s="62"/>
      <c r="O68" s="60">
        <v>1647000</v>
      </c>
      <c r="P68" s="62"/>
      <c r="Q68" s="60">
        <v>3843000</v>
      </c>
      <c r="R68" s="62"/>
      <c r="S68" s="62"/>
      <c r="T68" s="62"/>
      <c r="U68" s="62"/>
      <c r="V68" s="62"/>
      <c r="W68" s="62">
        <f>E68-O68-Q68</f>
        <v>1720000</v>
      </c>
      <c r="X68" s="62"/>
      <c r="Y68" s="67">
        <f t="shared" si="1"/>
        <v>0</v>
      </c>
    </row>
    <row r="69" spans="1:25" ht="50.25" customHeight="1" x14ac:dyDescent="0.3">
      <c r="A69" s="1"/>
      <c r="B69" s="2" t="s">
        <v>104</v>
      </c>
      <c r="C69" s="33"/>
      <c r="D69" s="33">
        <v>1530000</v>
      </c>
      <c r="E69" s="41">
        <v>1530000</v>
      </c>
      <c r="F69" s="33"/>
      <c r="G69" s="34"/>
      <c r="H69" s="34">
        <v>1</v>
      </c>
      <c r="I69" s="33">
        <f t="shared" si="11"/>
        <v>1530000</v>
      </c>
      <c r="J69" s="34">
        <v>2</v>
      </c>
      <c r="K69" s="34">
        <v>5</v>
      </c>
      <c r="L69" s="2" t="s">
        <v>160</v>
      </c>
      <c r="M69" s="60"/>
      <c r="N69" s="60"/>
      <c r="O69" s="60"/>
      <c r="P69" s="60"/>
      <c r="Q69" s="60"/>
      <c r="R69" s="60"/>
      <c r="S69" s="60"/>
      <c r="T69" s="60"/>
      <c r="U69" s="61"/>
      <c r="V69" s="61"/>
      <c r="W69" s="60"/>
      <c r="X69" s="60"/>
      <c r="Y69" s="67">
        <f t="shared" si="1"/>
        <v>0</v>
      </c>
    </row>
    <row r="70" spans="1:25" ht="68.25" customHeight="1" x14ac:dyDescent="0.3">
      <c r="A70" s="1"/>
      <c r="B70" s="2" t="s">
        <v>105</v>
      </c>
      <c r="C70" s="33"/>
      <c r="D70" s="33">
        <v>5556000</v>
      </c>
      <c r="E70" s="41">
        <v>5556000</v>
      </c>
      <c r="F70" s="33"/>
      <c r="G70" s="34"/>
      <c r="H70" s="34">
        <v>1</v>
      </c>
      <c r="I70" s="33">
        <f t="shared" si="11"/>
        <v>5556000</v>
      </c>
      <c r="J70" s="34">
        <v>2</v>
      </c>
      <c r="K70" s="34">
        <v>5</v>
      </c>
      <c r="L70" s="2" t="s">
        <v>150</v>
      </c>
      <c r="M70" s="60"/>
      <c r="N70" s="60"/>
      <c r="O70" s="60"/>
      <c r="P70" s="60"/>
      <c r="Q70" s="60"/>
      <c r="R70" s="60"/>
      <c r="S70" s="60"/>
      <c r="T70" s="60"/>
      <c r="U70" s="61"/>
      <c r="V70" s="61"/>
      <c r="W70" s="60"/>
      <c r="X70" s="60"/>
      <c r="Y70" s="67">
        <f t="shared" si="1"/>
        <v>0</v>
      </c>
    </row>
    <row r="71" spans="1:25" ht="91.5" customHeight="1" x14ac:dyDescent="0.3">
      <c r="A71" s="1"/>
      <c r="B71" s="2" t="s">
        <v>106</v>
      </c>
      <c r="C71" s="33"/>
      <c r="D71" s="33">
        <v>1859000</v>
      </c>
      <c r="E71" s="41">
        <v>1859000</v>
      </c>
      <c r="F71" s="33"/>
      <c r="G71" s="34"/>
      <c r="H71" s="34"/>
      <c r="I71" s="33"/>
      <c r="J71" s="34" t="s">
        <v>4</v>
      </c>
      <c r="K71" s="34"/>
      <c r="L71" s="2"/>
      <c r="M71" s="60"/>
      <c r="N71" s="60"/>
      <c r="O71" s="60"/>
      <c r="P71" s="60">
        <v>1750000</v>
      </c>
      <c r="Q71" s="60"/>
      <c r="R71" s="60"/>
      <c r="S71" s="60"/>
      <c r="T71" s="60"/>
      <c r="U71" s="61"/>
      <c r="V71" s="61"/>
      <c r="W71" s="60">
        <v>109000</v>
      </c>
      <c r="X71" s="60"/>
      <c r="Y71" s="67">
        <f t="shared" si="1"/>
        <v>0</v>
      </c>
    </row>
    <row r="72" spans="1:25" ht="71.25" customHeight="1" x14ac:dyDescent="0.3">
      <c r="A72" s="35"/>
      <c r="B72" s="68" t="s">
        <v>107</v>
      </c>
      <c r="C72" s="33"/>
      <c r="D72" s="33">
        <v>5121000</v>
      </c>
      <c r="E72" s="41">
        <v>5121000</v>
      </c>
      <c r="F72" s="37"/>
      <c r="G72" s="38"/>
      <c r="H72" s="34"/>
      <c r="I72" s="33"/>
      <c r="J72" s="34" t="s">
        <v>4</v>
      </c>
      <c r="K72" s="38"/>
      <c r="L72" s="2"/>
      <c r="M72" s="62"/>
      <c r="N72" s="62"/>
      <c r="O72" s="62"/>
      <c r="P72" s="62"/>
      <c r="Q72" s="60">
        <v>4080000</v>
      </c>
      <c r="R72" s="62"/>
      <c r="S72" s="62"/>
      <c r="T72" s="62"/>
      <c r="U72" s="62"/>
      <c r="V72" s="62"/>
      <c r="W72" s="60">
        <v>1041000</v>
      </c>
      <c r="X72" s="62"/>
      <c r="Y72" s="67">
        <f t="shared" ref="Y72:Y97" si="12">E72-I72-M72-N72-O72-P72-Q72-R72-S72-T72-U72-V72-W72</f>
        <v>0</v>
      </c>
    </row>
    <row r="73" spans="1:25" ht="71.25" customHeight="1" x14ac:dyDescent="0.3">
      <c r="A73" s="1"/>
      <c r="B73" s="2" t="s">
        <v>108</v>
      </c>
      <c r="C73" s="33"/>
      <c r="D73" s="33">
        <v>7077000</v>
      </c>
      <c r="E73" s="41">
        <v>7077000</v>
      </c>
      <c r="F73" s="33"/>
      <c r="G73" s="34"/>
      <c r="H73" s="34">
        <v>1</v>
      </c>
      <c r="I73" s="33">
        <f t="shared" si="11"/>
        <v>7077000</v>
      </c>
      <c r="J73" s="34">
        <v>2</v>
      </c>
      <c r="K73" s="34">
        <v>5</v>
      </c>
      <c r="L73" s="2" t="s">
        <v>157</v>
      </c>
      <c r="M73" s="60"/>
      <c r="N73" s="60"/>
      <c r="O73" s="60"/>
      <c r="P73" s="60"/>
      <c r="Q73" s="60"/>
      <c r="R73" s="60"/>
      <c r="S73" s="60"/>
      <c r="T73" s="60"/>
      <c r="U73" s="61"/>
      <c r="V73" s="61"/>
      <c r="W73" s="60"/>
      <c r="X73" s="60"/>
      <c r="Y73" s="67">
        <f t="shared" si="12"/>
        <v>0</v>
      </c>
    </row>
    <row r="74" spans="1:25" ht="75" x14ac:dyDescent="0.3">
      <c r="A74" s="1"/>
      <c r="B74" s="2" t="s">
        <v>109</v>
      </c>
      <c r="C74" s="33"/>
      <c r="D74" s="33">
        <v>6758000</v>
      </c>
      <c r="E74" s="41">
        <v>6758000</v>
      </c>
      <c r="F74" s="33"/>
      <c r="G74" s="34"/>
      <c r="H74" s="34"/>
      <c r="I74" s="33"/>
      <c r="J74" s="34" t="s">
        <v>4</v>
      </c>
      <c r="K74" s="34"/>
      <c r="L74" s="2" t="s">
        <v>156</v>
      </c>
      <c r="M74" s="60"/>
      <c r="N74" s="60"/>
      <c r="O74" s="60"/>
      <c r="P74" s="60"/>
      <c r="Q74" s="60"/>
      <c r="R74" s="60">
        <v>4980000</v>
      </c>
      <c r="S74" s="60"/>
      <c r="T74" s="60"/>
      <c r="U74" s="61"/>
      <c r="V74" s="61"/>
      <c r="W74" s="60">
        <v>1778000</v>
      </c>
      <c r="X74" s="60"/>
      <c r="Y74" s="67">
        <f t="shared" si="12"/>
        <v>0</v>
      </c>
    </row>
    <row r="75" spans="1:25" ht="63.75" customHeight="1" x14ac:dyDescent="0.3">
      <c r="A75" s="35"/>
      <c r="B75" s="2" t="s">
        <v>110</v>
      </c>
      <c r="C75" s="33"/>
      <c r="D75" s="33">
        <v>8608000</v>
      </c>
      <c r="E75" s="41">
        <v>8608000</v>
      </c>
      <c r="F75" s="37"/>
      <c r="G75" s="38"/>
      <c r="H75" s="34"/>
      <c r="I75" s="33"/>
      <c r="J75" s="34" t="s">
        <v>4</v>
      </c>
      <c r="K75" s="38"/>
      <c r="L75" s="2" t="s">
        <v>156</v>
      </c>
      <c r="M75" s="62"/>
      <c r="N75" s="60">
        <v>2356000</v>
      </c>
      <c r="O75" s="62"/>
      <c r="P75" s="62"/>
      <c r="Q75" s="60">
        <v>3534000</v>
      </c>
      <c r="R75" s="62"/>
      <c r="S75" s="62"/>
      <c r="T75" s="62"/>
      <c r="U75" s="62"/>
      <c r="V75" s="62"/>
      <c r="W75" s="60">
        <f>E75-N75-Q75</f>
        <v>2718000</v>
      </c>
      <c r="X75" s="62"/>
      <c r="Y75" s="67">
        <f t="shared" si="12"/>
        <v>0</v>
      </c>
    </row>
    <row r="76" spans="1:25" ht="75" x14ac:dyDescent="0.3">
      <c r="A76" s="1"/>
      <c r="B76" s="2" t="s">
        <v>111</v>
      </c>
      <c r="C76" s="33"/>
      <c r="D76" s="33">
        <v>3466000</v>
      </c>
      <c r="E76" s="41">
        <v>3466000</v>
      </c>
      <c r="F76" s="33"/>
      <c r="G76" s="34"/>
      <c r="H76" s="34"/>
      <c r="I76" s="33"/>
      <c r="J76" s="34" t="s">
        <v>4</v>
      </c>
      <c r="K76" s="34"/>
      <c r="L76" s="2" t="s">
        <v>156</v>
      </c>
      <c r="M76" s="60"/>
      <c r="N76" s="60"/>
      <c r="O76" s="60">
        <v>2550000</v>
      </c>
      <c r="P76" s="60"/>
      <c r="Q76" s="60"/>
      <c r="R76" s="60"/>
      <c r="S76" s="60"/>
      <c r="T76" s="60"/>
      <c r="U76" s="61"/>
      <c r="V76" s="61"/>
      <c r="W76" s="60">
        <f>E76-O76</f>
        <v>916000</v>
      </c>
      <c r="X76" s="60"/>
      <c r="Y76" s="67">
        <f t="shared" si="12"/>
        <v>0</v>
      </c>
    </row>
    <row r="77" spans="1:25" ht="68.25" customHeight="1" x14ac:dyDescent="0.3">
      <c r="A77" s="1"/>
      <c r="B77" s="2" t="s">
        <v>112</v>
      </c>
      <c r="C77" s="33"/>
      <c r="D77" s="33">
        <v>7419000</v>
      </c>
      <c r="E77" s="41">
        <v>7419000</v>
      </c>
      <c r="F77" s="33"/>
      <c r="G77" s="34"/>
      <c r="H77" s="34"/>
      <c r="I77" s="33"/>
      <c r="J77" s="34" t="s">
        <v>4</v>
      </c>
      <c r="K77" s="34"/>
      <c r="L77" s="2" t="s">
        <v>156</v>
      </c>
      <c r="M77" s="60"/>
      <c r="N77" s="60"/>
      <c r="O77" s="60">
        <v>7419000</v>
      </c>
      <c r="P77" s="60"/>
      <c r="Q77" s="60"/>
      <c r="R77" s="60"/>
      <c r="S77" s="60"/>
      <c r="T77" s="60"/>
      <c r="U77" s="61"/>
      <c r="V77" s="61"/>
      <c r="W77" s="60">
        <f>E77-O77</f>
        <v>0</v>
      </c>
      <c r="X77" s="60"/>
      <c r="Y77" s="67">
        <f t="shared" si="12"/>
        <v>0</v>
      </c>
    </row>
    <row r="78" spans="1:25" ht="56.25" x14ac:dyDescent="0.3">
      <c r="A78" s="1"/>
      <c r="B78" s="2" t="s">
        <v>113</v>
      </c>
      <c r="C78" s="33"/>
      <c r="D78" s="33">
        <v>2110000</v>
      </c>
      <c r="E78" s="41">
        <v>2110000</v>
      </c>
      <c r="F78" s="33"/>
      <c r="G78" s="34"/>
      <c r="H78" s="34">
        <v>1</v>
      </c>
      <c r="I78" s="33">
        <f>E78</f>
        <v>2110000</v>
      </c>
      <c r="J78" s="34">
        <v>2</v>
      </c>
      <c r="K78" s="34">
        <v>5</v>
      </c>
      <c r="L78" s="2" t="s">
        <v>160</v>
      </c>
      <c r="M78" s="60"/>
      <c r="N78" s="60"/>
      <c r="O78" s="60"/>
      <c r="P78" s="60"/>
      <c r="Q78" s="60"/>
      <c r="R78" s="60"/>
      <c r="S78" s="60"/>
      <c r="T78" s="60"/>
      <c r="U78" s="61"/>
      <c r="V78" s="61"/>
      <c r="W78" s="60"/>
      <c r="X78" s="60"/>
      <c r="Y78" s="67">
        <f t="shared" si="12"/>
        <v>0</v>
      </c>
    </row>
    <row r="79" spans="1:25" ht="77.25" customHeight="1" x14ac:dyDescent="0.3">
      <c r="A79" s="35"/>
      <c r="B79" s="2" t="s">
        <v>114</v>
      </c>
      <c r="C79" s="33"/>
      <c r="D79" s="33">
        <v>7290000</v>
      </c>
      <c r="E79" s="41">
        <v>7290000</v>
      </c>
      <c r="F79" s="37"/>
      <c r="G79" s="38"/>
      <c r="H79" s="34">
        <v>1</v>
      </c>
      <c r="I79" s="33">
        <f>E79</f>
        <v>7290000</v>
      </c>
      <c r="J79" s="34">
        <v>2</v>
      </c>
      <c r="K79" s="34">
        <v>5</v>
      </c>
      <c r="L79" s="2" t="s">
        <v>160</v>
      </c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7">
        <f t="shared" si="12"/>
        <v>0</v>
      </c>
    </row>
    <row r="80" spans="1:25" ht="65.25" customHeight="1" x14ac:dyDescent="0.3">
      <c r="A80" s="1"/>
      <c r="B80" s="2" t="s">
        <v>115</v>
      </c>
      <c r="C80" s="33"/>
      <c r="D80" s="33">
        <v>6400000</v>
      </c>
      <c r="E80" s="41">
        <v>6400000</v>
      </c>
      <c r="F80" s="33"/>
      <c r="G80" s="34"/>
      <c r="H80" s="34">
        <v>1</v>
      </c>
      <c r="I80" s="33">
        <f>E80</f>
        <v>6400000</v>
      </c>
      <c r="J80" s="34">
        <v>2</v>
      </c>
      <c r="K80" s="34">
        <v>5</v>
      </c>
      <c r="L80" s="2" t="s">
        <v>160</v>
      </c>
      <c r="M80" s="60"/>
      <c r="N80" s="60"/>
      <c r="O80" s="60"/>
      <c r="P80" s="60"/>
      <c r="Q80" s="60"/>
      <c r="R80" s="60"/>
      <c r="S80" s="60"/>
      <c r="T80" s="60"/>
      <c r="U80" s="61"/>
      <c r="V80" s="61"/>
      <c r="W80" s="60"/>
      <c r="X80" s="60"/>
      <c r="Y80" s="67">
        <f t="shared" si="12"/>
        <v>0</v>
      </c>
    </row>
    <row r="81" spans="1:25" ht="56.25" x14ac:dyDescent="0.3">
      <c r="A81" s="1"/>
      <c r="B81" s="2" t="s">
        <v>116</v>
      </c>
      <c r="C81" s="33"/>
      <c r="D81" s="33">
        <v>1899000</v>
      </c>
      <c r="E81" s="41">
        <v>1899000</v>
      </c>
      <c r="F81" s="33"/>
      <c r="G81" s="34"/>
      <c r="H81" s="34">
        <v>1</v>
      </c>
      <c r="I81" s="33">
        <f>E81</f>
        <v>1899000</v>
      </c>
      <c r="J81" s="34">
        <v>2</v>
      </c>
      <c r="K81" s="34">
        <v>5</v>
      </c>
      <c r="L81" s="2" t="s">
        <v>149</v>
      </c>
      <c r="M81" s="60"/>
      <c r="N81" s="60"/>
      <c r="O81" s="60"/>
      <c r="P81" s="60"/>
      <c r="Q81" s="60"/>
      <c r="R81" s="60"/>
      <c r="S81" s="60"/>
      <c r="T81" s="60"/>
      <c r="U81" s="61"/>
      <c r="V81" s="61"/>
      <c r="W81" s="60"/>
      <c r="X81" s="60"/>
      <c r="Y81" s="67">
        <f t="shared" si="12"/>
        <v>0</v>
      </c>
    </row>
    <row r="82" spans="1:25" ht="105" customHeight="1" x14ac:dyDescent="0.3">
      <c r="A82" s="35"/>
      <c r="B82" s="2" t="s">
        <v>117</v>
      </c>
      <c r="C82" s="33"/>
      <c r="D82" s="33">
        <v>3563000</v>
      </c>
      <c r="E82" s="41">
        <v>3563000</v>
      </c>
      <c r="F82" s="37"/>
      <c r="G82" s="38"/>
      <c r="H82" s="34"/>
      <c r="I82" s="33"/>
      <c r="J82" s="34" t="s">
        <v>4</v>
      </c>
      <c r="K82" s="34"/>
      <c r="L82" s="2"/>
      <c r="M82" s="62"/>
      <c r="N82" s="62"/>
      <c r="O82" s="62"/>
      <c r="P82" s="60">
        <v>3554900</v>
      </c>
      <c r="Q82" s="62"/>
      <c r="R82" s="62"/>
      <c r="S82" s="62"/>
      <c r="T82" s="62"/>
      <c r="U82" s="62"/>
      <c r="V82" s="62"/>
      <c r="W82" s="60">
        <v>8100</v>
      </c>
      <c r="X82" s="62"/>
      <c r="Y82" s="67">
        <f t="shared" si="12"/>
        <v>0</v>
      </c>
    </row>
    <row r="83" spans="1:25" ht="75" x14ac:dyDescent="0.3">
      <c r="A83" s="1"/>
      <c r="B83" s="2" t="s">
        <v>118</v>
      </c>
      <c r="C83" s="33"/>
      <c r="D83" s="33">
        <v>3513000</v>
      </c>
      <c r="E83" s="41">
        <v>3513000</v>
      </c>
      <c r="F83" s="33"/>
      <c r="G83" s="34"/>
      <c r="H83" s="34">
        <v>1</v>
      </c>
      <c r="I83" s="33">
        <f>E83</f>
        <v>3513000</v>
      </c>
      <c r="J83" s="34">
        <v>3</v>
      </c>
      <c r="K83" s="34">
        <v>5</v>
      </c>
      <c r="L83" s="2" t="s">
        <v>160</v>
      </c>
      <c r="M83" s="60"/>
      <c r="N83" s="60"/>
      <c r="O83" s="60"/>
      <c r="P83" s="60"/>
      <c r="Q83" s="60"/>
      <c r="R83" s="60"/>
      <c r="S83" s="60"/>
      <c r="T83" s="60"/>
      <c r="U83" s="61"/>
      <c r="V83" s="61"/>
      <c r="W83" s="60"/>
      <c r="X83" s="60"/>
      <c r="Y83" s="67">
        <f t="shared" si="12"/>
        <v>0</v>
      </c>
    </row>
    <row r="84" spans="1:25" ht="37.5" x14ac:dyDescent="0.3">
      <c r="A84" s="45">
        <v>8</v>
      </c>
      <c r="B84" s="46" t="s">
        <v>139</v>
      </c>
      <c r="C84" s="47">
        <f>SUM(C85:C90)</f>
        <v>2636400</v>
      </c>
      <c r="D84" s="47">
        <f>SUM(D85:D90)</f>
        <v>0</v>
      </c>
      <c r="E84" s="47">
        <f>SUM(E85:E90)</f>
        <v>2636400</v>
      </c>
      <c r="F84" s="47">
        <f>SUM(F85:F90)</f>
        <v>639140</v>
      </c>
      <c r="G84" s="48"/>
      <c r="H84" s="57">
        <f>SUM(H85:H90)</f>
        <v>0</v>
      </c>
      <c r="I84" s="57">
        <f t="shared" ref="I84:W84" si="13">SUM(I85:I90)</f>
        <v>0</v>
      </c>
      <c r="J84" s="57">
        <f t="shared" si="13"/>
        <v>0</v>
      </c>
      <c r="K84" s="57">
        <f t="shared" si="13"/>
        <v>0</v>
      </c>
      <c r="L84" s="57">
        <f t="shared" si="13"/>
        <v>0</v>
      </c>
      <c r="M84" s="57">
        <f t="shared" si="13"/>
        <v>0</v>
      </c>
      <c r="N84" s="57">
        <f t="shared" si="13"/>
        <v>0</v>
      </c>
      <c r="O84" s="57">
        <f t="shared" si="13"/>
        <v>152600</v>
      </c>
      <c r="P84" s="57">
        <f t="shared" si="13"/>
        <v>0</v>
      </c>
      <c r="Q84" s="57">
        <f t="shared" si="13"/>
        <v>0</v>
      </c>
      <c r="R84" s="57">
        <f t="shared" si="13"/>
        <v>2483800</v>
      </c>
      <c r="S84" s="57">
        <f t="shared" si="13"/>
        <v>0</v>
      </c>
      <c r="T84" s="57">
        <f t="shared" si="13"/>
        <v>0</v>
      </c>
      <c r="U84" s="57">
        <f t="shared" si="13"/>
        <v>0</v>
      </c>
      <c r="V84" s="57">
        <f t="shared" si="13"/>
        <v>0</v>
      </c>
      <c r="W84" s="57">
        <f t="shared" si="13"/>
        <v>0</v>
      </c>
      <c r="X84" s="63"/>
      <c r="Y84" s="67">
        <f t="shared" si="12"/>
        <v>0</v>
      </c>
    </row>
    <row r="85" spans="1:25" ht="42.75" customHeight="1" x14ac:dyDescent="0.3">
      <c r="A85" s="35"/>
      <c r="B85" s="2" t="s">
        <v>119</v>
      </c>
      <c r="C85" s="33">
        <v>68400</v>
      </c>
      <c r="D85" s="33"/>
      <c r="E85" s="41">
        <v>68400</v>
      </c>
      <c r="F85" s="33">
        <v>62140</v>
      </c>
      <c r="G85" s="38"/>
      <c r="H85" s="38">
        <v>0</v>
      </c>
      <c r="I85" s="37"/>
      <c r="J85" s="38"/>
      <c r="K85" s="38"/>
      <c r="L85" s="2" t="s">
        <v>152</v>
      </c>
      <c r="M85" s="62"/>
      <c r="N85" s="62"/>
      <c r="O85" s="62">
        <f>E85</f>
        <v>68400</v>
      </c>
      <c r="P85" s="62"/>
      <c r="Q85" s="62"/>
      <c r="R85" s="62"/>
      <c r="S85" s="62"/>
      <c r="T85" s="62"/>
      <c r="U85" s="62"/>
      <c r="V85" s="62"/>
      <c r="W85" s="62"/>
      <c r="X85" s="62"/>
      <c r="Y85" s="67">
        <f t="shared" si="12"/>
        <v>0</v>
      </c>
    </row>
    <row r="86" spans="1:25" ht="44.25" customHeight="1" x14ac:dyDescent="0.3">
      <c r="A86" s="1"/>
      <c r="B86" s="2" t="s">
        <v>120</v>
      </c>
      <c r="C86" s="33">
        <v>84200</v>
      </c>
      <c r="D86" s="33"/>
      <c r="E86" s="41">
        <v>84200</v>
      </c>
      <c r="F86" s="33">
        <v>84200</v>
      </c>
      <c r="G86" s="34"/>
      <c r="H86" s="34">
        <v>0</v>
      </c>
      <c r="I86" s="33"/>
      <c r="J86" s="34"/>
      <c r="K86" s="34"/>
      <c r="L86" s="2" t="s">
        <v>152</v>
      </c>
      <c r="M86" s="60"/>
      <c r="N86" s="60"/>
      <c r="O86" s="60">
        <f>E86</f>
        <v>84200</v>
      </c>
      <c r="P86" s="60"/>
      <c r="Q86" s="60"/>
      <c r="R86" s="60"/>
      <c r="S86" s="60"/>
      <c r="T86" s="60"/>
      <c r="U86" s="61"/>
      <c r="V86" s="61"/>
      <c r="W86" s="60"/>
      <c r="X86" s="60"/>
      <c r="Y86" s="67">
        <f t="shared" si="12"/>
        <v>0</v>
      </c>
    </row>
    <row r="87" spans="1:25" ht="37.5" x14ac:dyDescent="0.3">
      <c r="A87" s="1"/>
      <c r="B87" s="2" t="s">
        <v>121</v>
      </c>
      <c r="C87" s="33">
        <v>1742100</v>
      </c>
      <c r="D87" s="33"/>
      <c r="E87" s="41">
        <v>1742100</v>
      </c>
      <c r="F87" s="33">
        <v>172100</v>
      </c>
      <c r="G87" s="34"/>
      <c r="H87" s="34">
        <v>0</v>
      </c>
      <c r="I87" s="33"/>
      <c r="J87" s="34"/>
      <c r="K87" s="34"/>
      <c r="L87" s="2" t="s">
        <v>152</v>
      </c>
      <c r="M87" s="60"/>
      <c r="N87" s="60"/>
      <c r="O87" s="60"/>
      <c r="P87" s="60"/>
      <c r="Q87" s="60"/>
      <c r="R87" s="60">
        <f>E87</f>
        <v>1742100</v>
      </c>
      <c r="S87" s="60"/>
      <c r="T87" s="60"/>
      <c r="U87" s="61"/>
      <c r="V87" s="61"/>
      <c r="W87" s="60"/>
      <c r="X87" s="60"/>
      <c r="Y87" s="67">
        <f t="shared" si="12"/>
        <v>0</v>
      </c>
    </row>
    <row r="88" spans="1:25" ht="42.75" customHeight="1" x14ac:dyDescent="0.3">
      <c r="A88" s="35"/>
      <c r="B88" s="2" t="s">
        <v>122</v>
      </c>
      <c r="C88" s="33">
        <v>118000</v>
      </c>
      <c r="D88" s="33"/>
      <c r="E88" s="41">
        <v>118000</v>
      </c>
      <c r="F88" s="33">
        <v>118000</v>
      </c>
      <c r="G88" s="38"/>
      <c r="H88" s="38">
        <v>0</v>
      </c>
      <c r="I88" s="37"/>
      <c r="J88" s="38"/>
      <c r="K88" s="38"/>
      <c r="L88" s="2" t="s">
        <v>152</v>
      </c>
      <c r="M88" s="62"/>
      <c r="N88" s="62"/>
      <c r="O88" s="62"/>
      <c r="P88" s="62"/>
      <c r="Q88" s="62"/>
      <c r="R88" s="62">
        <f>E88</f>
        <v>118000</v>
      </c>
      <c r="S88" s="62"/>
      <c r="T88" s="62"/>
      <c r="U88" s="62"/>
      <c r="V88" s="62"/>
      <c r="W88" s="62"/>
      <c r="X88" s="62"/>
      <c r="Y88" s="67">
        <f t="shared" si="12"/>
        <v>0</v>
      </c>
    </row>
    <row r="89" spans="1:25" ht="37.5" x14ac:dyDescent="0.3">
      <c r="A89" s="1"/>
      <c r="B89" s="2" t="s">
        <v>123</v>
      </c>
      <c r="C89" s="33">
        <v>281500</v>
      </c>
      <c r="D89" s="33"/>
      <c r="E89" s="41">
        <v>281500</v>
      </c>
      <c r="F89" s="33"/>
      <c r="G89" s="34"/>
      <c r="H89" s="34">
        <v>0</v>
      </c>
      <c r="I89" s="33"/>
      <c r="J89" s="34"/>
      <c r="K89" s="34"/>
      <c r="L89" s="2" t="s">
        <v>152</v>
      </c>
      <c r="M89" s="60"/>
      <c r="N89" s="60"/>
      <c r="O89" s="60"/>
      <c r="P89" s="60"/>
      <c r="Q89" s="60"/>
      <c r="R89" s="60">
        <f>E89</f>
        <v>281500</v>
      </c>
      <c r="S89" s="60"/>
      <c r="T89" s="60"/>
      <c r="U89" s="61"/>
      <c r="V89" s="61"/>
      <c r="W89" s="60"/>
      <c r="X89" s="60"/>
      <c r="Y89" s="67">
        <f t="shared" si="12"/>
        <v>0</v>
      </c>
    </row>
    <row r="90" spans="1:25" ht="40.5" customHeight="1" x14ac:dyDescent="0.3">
      <c r="A90" s="1"/>
      <c r="B90" s="2" t="s">
        <v>124</v>
      </c>
      <c r="C90" s="33">
        <v>342200</v>
      </c>
      <c r="D90" s="33"/>
      <c r="E90" s="41">
        <v>342200</v>
      </c>
      <c r="F90" s="33">
        <v>202700</v>
      </c>
      <c r="G90" s="34"/>
      <c r="H90" s="34">
        <v>0</v>
      </c>
      <c r="I90" s="33"/>
      <c r="J90" s="34"/>
      <c r="K90" s="34"/>
      <c r="L90" s="2" t="s">
        <v>152</v>
      </c>
      <c r="M90" s="60"/>
      <c r="N90" s="60"/>
      <c r="O90" s="60"/>
      <c r="P90" s="60"/>
      <c r="Q90" s="60"/>
      <c r="R90" s="60">
        <f>E90</f>
        <v>342200</v>
      </c>
      <c r="S90" s="60"/>
      <c r="T90" s="60"/>
      <c r="U90" s="61"/>
      <c r="V90" s="61"/>
      <c r="W90" s="60"/>
      <c r="X90" s="60"/>
      <c r="Y90" s="67">
        <f t="shared" si="12"/>
        <v>0</v>
      </c>
    </row>
    <row r="91" spans="1:25" ht="56.25" x14ac:dyDescent="0.3">
      <c r="A91" s="51">
        <v>9</v>
      </c>
      <c r="B91" s="46" t="s">
        <v>127</v>
      </c>
      <c r="C91" s="47">
        <f>SUM(C92:C97)</f>
        <v>16935800</v>
      </c>
      <c r="D91" s="47"/>
      <c r="E91" s="44">
        <f>SUM(E92:E97)</f>
        <v>16935800</v>
      </c>
      <c r="F91" s="55">
        <f t="shared" ref="F91:W91" si="14">SUM(F92:F97)</f>
        <v>3478640</v>
      </c>
      <c r="G91" s="55">
        <f t="shared" si="14"/>
        <v>0</v>
      </c>
      <c r="H91" s="55">
        <f t="shared" si="14"/>
        <v>0</v>
      </c>
      <c r="I91" s="55">
        <f t="shared" si="14"/>
        <v>0</v>
      </c>
      <c r="J91" s="55">
        <f t="shared" si="14"/>
        <v>0</v>
      </c>
      <c r="K91" s="44">
        <f t="shared" si="14"/>
        <v>0</v>
      </c>
      <c r="L91" s="44">
        <f t="shared" si="14"/>
        <v>0</v>
      </c>
      <c r="M91" s="55">
        <f t="shared" si="14"/>
        <v>2880000</v>
      </c>
      <c r="N91" s="55">
        <f t="shared" si="14"/>
        <v>0</v>
      </c>
      <c r="O91" s="55">
        <f t="shared" si="14"/>
        <v>984000</v>
      </c>
      <c r="P91" s="55">
        <f t="shared" si="14"/>
        <v>0</v>
      </c>
      <c r="Q91" s="55">
        <f t="shared" si="14"/>
        <v>0</v>
      </c>
      <c r="R91" s="55">
        <f t="shared" si="14"/>
        <v>12935800</v>
      </c>
      <c r="S91" s="55">
        <f t="shared" si="14"/>
        <v>0</v>
      </c>
      <c r="T91" s="55">
        <f t="shared" si="14"/>
        <v>0</v>
      </c>
      <c r="U91" s="55">
        <f t="shared" si="14"/>
        <v>0</v>
      </c>
      <c r="V91" s="55">
        <f t="shared" si="14"/>
        <v>0</v>
      </c>
      <c r="W91" s="55">
        <f t="shared" si="14"/>
        <v>136000</v>
      </c>
      <c r="X91" s="63"/>
      <c r="Y91" s="67">
        <f t="shared" si="12"/>
        <v>0</v>
      </c>
    </row>
    <row r="92" spans="1:25" ht="45" customHeight="1" x14ac:dyDescent="0.3">
      <c r="A92" s="1"/>
      <c r="B92" s="2" t="s">
        <v>128</v>
      </c>
      <c r="C92" s="33">
        <v>2936600</v>
      </c>
      <c r="D92" s="33"/>
      <c r="E92" s="41">
        <v>2936600</v>
      </c>
      <c r="F92" s="37"/>
      <c r="G92" s="38"/>
      <c r="H92" s="38">
        <v>0</v>
      </c>
      <c r="I92" s="37"/>
      <c r="J92" s="38"/>
      <c r="K92" s="38"/>
      <c r="L92" s="2" t="s">
        <v>152</v>
      </c>
      <c r="M92" s="62"/>
      <c r="N92" s="62"/>
      <c r="O92" s="62"/>
      <c r="P92" s="62"/>
      <c r="Q92" s="62"/>
      <c r="R92" s="62">
        <f>E92</f>
        <v>2936600</v>
      </c>
      <c r="S92" s="62"/>
      <c r="T92" s="62"/>
      <c r="U92" s="62"/>
      <c r="V92" s="62"/>
      <c r="W92" s="62"/>
      <c r="X92" s="62"/>
      <c r="Y92" s="67">
        <f t="shared" si="12"/>
        <v>0</v>
      </c>
    </row>
    <row r="93" spans="1:25" ht="24" customHeight="1" x14ac:dyDescent="0.3">
      <c r="A93" s="1"/>
      <c r="B93" s="2" t="s">
        <v>129</v>
      </c>
      <c r="C93" s="33">
        <v>3000000</v>
      </c>
      <c r="D93" s="33"/>
      <c r="E93" s="41">
        <v>3000000</v>
      </c>
      <c r="F93" s="33"/>
      <c r="G93" s="34"/>
      <c r="H93" s="34">
        <v>0</v>
      </c>
      <c r="I93" s="33"/>
      <c r="J93" s="34"/>
      <c r="K93" s="34"/>
      <c r="L93" s="2" t="s">
        <v>152</v>
      </c>
      <c r="M93" s="60"/>
      <c r="N93" s="60"/>
      <c r="O93" s="60"/>
      <c r="P93" s="60"/>
      <c r="Q93" s="60"/>
      <c r="R93" s="60">
        <f>E93</f>
        <v>3000000</v>
      </c>
      <c r="S93" s="60"/>
      <c r="T93" s="60"/>
      <c r="U93" s="61"/>
      <c r="V93" s="61"/>
      <c r="W93" s="60"/>
      <c r="X93" s="60"/>
      <c r="Y93" s="67">
        <f t="shared" si="12"/>
        <v>0</v>
      </c>
    </row>
    <row r="94" spans="1:25" ht="37.5" x14ac:dyDescent="0.3">
      <c r="A94" s="1"/>
      <c r="B94" s="2" t="s">
        <v>130</v>
      </c>
      <c r="C94" s="33">
        <v>2999200</v>
      </c>
      <c r="D94" s="33"/>
      <c r="E94" s="41">
        <v>2999200</v>
      </c>
      <c r="F94" s="33"/>
      <c r="G94" s="34"/>
      <c r="H94" s="34">
        <v>0</v>
      </c>
      <c r="I94" s="33"/>
      <c r="J94" s="34"/>
      <c r="K94" s="34"/>
      <c r="L94" s="2" t="s">
        <v>152</v>
      </c>
      <c r="M94" s="60"/>
      <c r="N94" s="60"/>
      <c r="O94" s="60"/>
      <c r="P94" s="60"/>
      <c r="Q94" s="60"/>
      <c r="R94" s="60">
        <f>E94</f>
        <v>2999200</v>
      </c>
      <c r="S94" s="60"/>
      <c r="T94" s="60"/>
      <c r="U94" s="61"/>
      <c r="V94" s="61"/>
      <c r="W94" s="60"/>
      <c r="X94" s="60"/>
      <c r="Y94" s="67">
        <f t="shared" si="12"/>
        <v>0</v>
      </c>
    </row>
    <row r="95" spans="1:25" ht="42" customHeight="1" x14ac:dyDescent="0.3">
      <c r="A95" s="1"/>
      <c r="B95" s="2" t="s">
        <v>131</v>
      </c>
      <c r="C95" s="33">
        <v>1000000</v>
      </c>
      <c r="D95" s="33"/>
      <c r="E95" s="41">
        <v>1000000</v>
      </c>
      <c r="F95" s="33">
        <v>590640</v>
      </c>
      <c r="G95" s="38"/>
      <c r="H95" s="38">
        <v>0</v>
      </c>
      <c r="I95" s="37"/>
      <c r="J95" s="38"/>
      <c r="K95" s="38"/>
      <c r="L95" s="2" t="s">
        <v>152</v>
      </c>
      <c r="M95" s="62"/>
      <c r="N95" s="62"/>
      <c r="O95" s="60">
        <v>984000</v>
      </c>
      <c r="P95" s="62"/>
      <c r="Q95" s="62"/>
      <c r="R95" s="62"/>
      <c r="S95" s="62"/>
      <c r="T95" s="62"/>
      <c r="U95" s="62"/>
      <c r="V95" s="62"/>
      <c r="W95" s="62">
        <f>E95-M95-N95-O95-P95-Q95-R95-S95-T95-U95+V95</f>
        <v>16000</v>
      </c>
      <c r="X95" s="62"/>
      <c r="Y95" s="67">
        <f t="shared" si="12"/>
        <v>0</v>
      </c>
    </row>
    <row r="96" spans="1:25" ht="37.5" x14ac:dyDescent="0.3">
      <c r="A96" s="1"/>
      <c r="B96" s="2" t="s">
        <v>132</v>
      </c>
      <c r="C96" s="33">
        <v>3000000</v>
      </c>
      <c r="D96" s="33"/>
      <c r="E96" s="41">
        <v>3000000</v>
      </c>
      <c r="F96" s="33">
        <v>2888000</v>
      </c>
      <c r="G96" s="34"/>
      <c r="H96" s="34">
        <v>0</v>
      </c>
      <c r="I96" s="33"/>
      <c r="J96" s="34"/>
      <c r="K96" s="34"/>
      <c r="L96" s="2" t="s">
        <v>152</v>
      </c>
      <c r="M96" s="60">
        <v>2880000</v>
      </c>
      <c r="N96" s="60"/>
      <c r="O96" s="60"/>
      <c r="P96" s="60"/>
      <c r="Q96" s="60"/>
      <c r="R96" s="60"/>
      <c r="S96" s="60"/>
      <c r="T96" s="60"/>
      <c r="U96" s="61"/>
      <c r="V96" s="61"/>
      <c r="W96" s="60">
        <f>E96-M96</f>
        <v>120000</v>
      </c>
      <c r="X96" s="60"/>
      <c r="Y96" s="67">
        <f t="shared" si="12"/>
        <v>0</v>
      </c>
    </row>
    <row r="97" spans="1:25" ht="43.5" customHeight="1" x14ac:dyDescent="0.3">
      <c r="A97" s="1"/>
      <c r="B97" s="2" t="s">
        <v>133</v>
      </c>
      <c r="C97" s="33">
        <v>4000000</v>
      </c>
      <c r="D97" s="33"/>
      <c r="E97" s="41">
        <v>4000000</v>
      </c>
      <c r="F97" s="33"/>
      <c r="G97" s="34"/>
      <c r="H97" s="34">
        <v>0</v>
      </c>
      <c r="I97" s="33"/>
      <c r="J97" s="34"/>
      <c r="K97" s="34"/>
      <c r="L97" s="2" t="s">
        <v>152</v>
      </c>
      <c r="M97" s="60"/>
      <c r="N97" s="60"/>
      <c r="O97" s="60"/>
      <c r="P97" s="60"/>
      <c r="Q97" s="60"/>
      <c r="R97" s="60">
        <f>E97</f>
        <v>4000000</v>
      </c>
      <c r="S97" s="60"/>
      <c r="T97" s="60"/>
      <c r="U97" s="61"/>
      <c r="V97" s="61"/>
      <c r="W97" s="60"/>
      <c r="X97" s="60"/>
      <c r="Y97" s="67">
        <f t="shared" si="12"/>
        <v>0</v>
      </c>
    </row>
    <row r="98" spans="1:25" ht="4.5" customHeight="1" x14ac:dyDescent="0.3">
      <c r="A98" s="8"/>
      <c r="B98" s="9"/>
      <c r="C98" s="39"/>
      <c r="D98" s="39"/>
      <c r="E98" s="32">
        <f>C98+D98</f>
        <v>0</v>
      </c>
      <c r="F98" s="39"/>
      <c r="G98" s="40"/>
      <c r="H98" s="40"/>
      <c r="I98" s="39"/>
      <c r="J98" s="40"/>
      <c r="K98" s="40"/>
      <c r="L98" s="9"/>
      <c r="M98" s="64"/>
      <c r="N98" s="64"/>
      <c r="O98" s="64"/>
      <c r="P98" s="64"/>
      <c r="Q98" s="64"/>
      <c r="R98" s="64"/>
      <c r="S98" s="64"/>
      <c r="T98" s="64"/>
      <c r="U98" s="65"/>
      <c r="V98" s="65"/>
      <c r="W98" s="64"/>
      <c r="X98" s="64"/>
    </row>
    <row r="99" spans="1:25" ht="22.5" customHeight="1" x14ac:dyDescent="0.3">
      <c r="A99" s="1510" t="s">
        <v>29</v>
      </c>
      <c r="B99" s="1511"/>
      <c r="C99" s="19">
        <f>C7+C9+C15+C17+C22+C26+C28+C33+C84+C91</f>
        <v>51983600</v>
      </c>
      <c r="D99" s="19">
        <f t="shared" ref="D99:W99" si="15">D7+D9+D15+D17+D22+D26+D28+D33+D84+D91</f>
        <v>374333600</v>
      </c>
      <c r="E99" s="19">
        <f t="shared" si="15"/>
        <v>426317200</v>
      </c>
      <c r="F99" s="19">
        <f t="shared" si="15"/>
        <v>10198532.27</v>
      </c>
      <c r="G99" s="19">
        <f t="shared" si="15"/>
        <v>0</v>
      </c>
      <c r="H99" s="56">
        <f t="shared" si="15"/>
        <v>36</v>
      </c>
      <c r="I99" s="19">
        <f t="shared" si="15"/>
        <v>245242000</v>
      </c>
      <c r="J99" s="19">
        <f t="shared" si="15"/>
        <v>4</v>
      </c>
      <c r="K99" s="19">
        <f t="shared" si="15"/>
        <v>0</v>
      </c>
      <c r="L99" s="19">
        <f t="shared" si="15"/>
        <v>0</v>
      </c>
      <c r="M99" s="19">
        <f t="shared" si="15"/>
        <v>4880000</v>
      </c>
      <c r="N99" s="19">
        <f t="shared" si="15"/>
        <v>7399000</v>
      </c>
      <c r="O99" s="19">
        <f t="shared" si="15"/>
        <v>27138600</v>
      </c>
      <c r="P99" s="19">
        <f t="shared" si="15"/>
        <v>16328400</v>
      </c>
      <c r="Q99" s="19">
        <f t="shared" si="15"/>
        <v>54629900</v>
      </c>
      <c r="R99" s="19">
        <f t="shared" si="15"/>
        <v>25567600</v>
      </c>
      <c r="S99" s="19">
        <f t="shared" si="15"/>
        <v>10127000</v>
      </c>
      <c r="T99" s="19">
        <f t="shared" si="15"/>
        <v>1000000</v>
      </c>
      <c r="U99" s="19">
        <f t="shared" si="15"/>
        <v>1000000</v>
      </c>
      <c r="V99" s="19">
        <f t="shared" si="15"/>
        <v>8839000</v>
      </c>
      <c r="W99" s="19">
        <f t="shared" si="15"/>
        <v>24165700</v>
      </c>
      <c r="X99" s="56"/>
    </row>
    <row r="100" spans="1:25" ht="22.5" customHeight="1" x14ac:dyDescent="0.3">
      <c r="A100" s="23"/>
      <c r="B100" s="23"/>
      <c r="C100" s="29"/>
      <c r="D100" s="29"/>
      <c r="E100" s="29"/>
      <c r="F100" s="69"/>
      <c r="G100" s="23"/>
      <c r="H100" s="23"/>
      <c r="I100" s="31"/>
      <c r="J100" s="23"/>
      <c r="K100" s="30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</row>
    <row r="101" spans="1:25" ht="22.5" customHeight="1" x14ac:dyDescent="0.3">
      <c r="A101" s="1520" t="s">
        <v>174</v>
      </c>
      <c r="B101" s="1520"/>
      <c r="C101" s="1520"/>
      <c r="D101" s="1520"/>
      <c r="E101" s="1520"/>
      <c r="F101" s="1520"/>
      <c r="G101" s="1520"/>
      <c r="H101" s="1520"/>
      <c r="I101" s="1520"/>
      <c r="J101" s="1520"/>
      <c r="K101" s="30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</row>
    <row r="102" spans="1:25" ht="22.5" customHeight="1" x14ac:dyDescent="0.3">
      <c r="A102" s="30" t="s">
        <v>175</v>
      </c>
      <c r="B102" s="30"/>
      <c r="C102" s="30"/>
      <c r="D102" s="30"/>
      <c r="E102" s="30"/>
      <c r="F102" s="30"/>
      <c r="G102" s="23"/>
      <c r="H102" s="23"/>
      <c r="I102" s="31"/>
      <c r="J102" s="23"/>
      <c r="K102" s="30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</row>
    <row r="103" spans="1:25" ht="22.5" customHeight="1" x14ac:dyDescent="0.3">
      <c r="A103" s="1520"/>
      <c r="B103" s="1520"/>
      <c r="C103" s="1520"/>
      <c r="D103" s="1520"/>
      <c r="E103" s="1520"/>
      <c r="F103" s="1520"/>
      <c r="G103" s="23"/>
      <c r="H103" s="23"/>
      <c r="I103" s="31"/>
      <c r="J103" s="23"/>
      <c r="K103" s="30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</row>
    <row r="104" spans="1:25" ht="22.5" customHeight="1" x14ac:dyDescent="0.35">
      <c r="A104" s="24"/>
      <c r="B104" s="15" t="s">
        <v>27</v>
      </c>
      <c r="C104" s="24"/>
      <c r="D104" s="24"/>
      <c r="E104" s="24"/>
      <c r="F104" s="24"/>
      <c r="G104" s="25"/>
      <c r="H104" s="25"/>
      <c r="I104" s="66"/>
      <c r="J104" s="25"/>
      <c r="Q104" s="13"/>
      <c r="R104" s="13"/>
      <c r="S104" s="13"/>
      <c r="T104" s="13"/>
    </row>
    <row r="105" spans="1:25" ht="21.75" customHeight="1" x14ac:dyDescent="0.35">
      <c r="A105" s="26">
        <v>1</v>
      </c>
      <c r="B105" s="15" t="s">
        <v>35</v>
      </c>
      <c r="C105" s="24"/>
      <c r="D105" s="24"/>
      <c r="E105" s="24"/>
      <c r="F105" s="24"/>
      <c r="G105" s="25"/>
      <c r="H105" s="25"/>
      <c r="I105" s="66"/>
      <c r="J105" s="25"/>
      <c r="Q105" s="13"/>
      <c r="R105" s="13"/>
      <c r="S105" s="13"/>
      <c r="T105" s="13"/>
    </row>
    <row r="106" spans="1:25" ht="21" x14ac:dyDescent="0.35">
      <c r="A106" s="27">
        <v>2</v>
      </c>
      <c r="B106" s="28" t="s">
        <v>28</v>
      </c>
      <c r="C106" s="28"/>
      <c r="D106" s="28"/>
      <c r="E106" s="24"/>
      <c r="F106" s="24"/>
      <c r="G106" s="25"/>
      <c r="H106" s="25"/>
      <c r="I106" s="24"/>
      <c r="J106" s="25"/>
    </row>
    <row r="107" spans="1:25" ht="21" x14ac:dyDescent="0.35">
      <c r="A107" s="25"/>
      <c r="B107" s="24" t="s">
        <v>38</v>
      </c>
      <c r="C107" s="24"/>
      <c r="D107" s="24"/>
      <c r="E107" s="24"/>
      <c r="F107" s="24"/>
      <c r="G107" s="25"/>
      <c r="H107" s="25"/>
      <c r="I107" s="24"/>
      <c r="J107" s="25"/>
    </row>
    <row r="108" spans="1:25" ht="21" x14ac:dyDescent="0.35">
      <c r="A108" s="25"/>
      <c r="B108" s="24" t="s">
        <v>39</v>
      </c>
      <c r="C108" s="24"/>
      <c r="D108" s="24"/>
      <c r="E108" s="24"/>
      <c r="F108" s="24"/>
      <c r="G108" s="25"/>
      <c r="H108" s="25"/>
      <c r="I108" s="24"/>
      <c r="J108" s="25"/>
    </row>
    <row r="109" spans="1:25" ht="21" x14ac:dyDescent="0.35">
      <c r="A109" s="25"/>
      <c r="B109" s="24" t="s">
        <v>40</v>
      </c>
      <c r="C109" s="24"/>
      <c r="D109" s="24"/>
      <c r="E109" s="24"/>
      <c r="F109" s="24"/>
      <c r="G109" s="25"/>
      <c r="H109" s="25"/>
      <c r="I109" s="24"/>
      <c r="J109" s="25"/>
    </row>
    <row r="110" spans="1:25" ht="21" x14ac:dyDescent="0.35">
      <c r="A110" s="25"/>
      <c r="B110" s="24" t="s">
        <v>41</v>
      </c>
      <c r="C110" s="24"/>
      <c r="D110" s="24"/>
      <c r="E110" s="24"/>
      <c r="F110" s="24"/>
      <c r="G110" s="25"/>
      <c r="H110" s="25"/>
      <c r="I110" s="24"/>
      <c r="J110" s="25"/>
    </row>
    <row r="111" spans="1:25" ht="21" x14ac:dyDescent="0.35">
      <c r="A111" s="25"/>
      <c r="B111" s="24" t="s">
        <v>42</v>
      </c>
      <c r="C111" s="24"/>
      <c r="D111" s="24"/>
      <c r="E111" s="24"/>
      <c r="F111" s="24"/>
      <c r="G111" s="25"/>
      <c r="H111" s="25"/>
      <c r="I111" s="24"/>
      <c r="J111" s="25"/>
    </row>
    <row r="112" spans="1:25" ht="21" x14ac:dyDescent="0.35">
      <c r="A112" s="25"/>
      <c r="B112" s="24" t="s">
        <v>43</v>
      </c>
      <c r="C112" s="24"/>
      <c r="D112" s="24"/>
      <c r="E112" s="24"/>
      <c r="F112" s="24"/>
      <c r="G112" s="25"/>
      <c r="H112" s="25"/>
      <c r="I112" s="24"/>
      <c r="J112" s="25"/>
    </row>
    <row r="113" spans="1:10" ht="21" x14ac:dyDescent="0.35">
      <c r="A113" s="25"/>
      <c r="B113" s="24" t="s">
        <v>44</v>
      </c>
      <c r="C113" s="24"/>
      <c r="D113" s="24"/>
      <c r="E113" s="24"/>
      <c r="F113" s="24"/>
      <c r="G113" s="25"/>
      <c r="H113" s="25"/>
      <c r="I113" s="24"/>
      <c r="J113" s="25"/>
    </row>
    <row r="114" spans="1:10" ht="21" x14ac:dyDescent="0.35">
      <c r="A114" s="25"/>
      <c r="B114" s="24" t="s">
        <v>45</v>
      </c>
      <c r="C114" s="24"/>
      <c r="D114" s="24"/>
      <c r="E114" s="24"/>
      <c r="F114" s="24"/>
      <c r="G114" s="25"/>
      <c r="H114" s="25"/>
      <c r="I114" s="24"/>
      <c r="J114" s="25"/>
    </row>
    <row r="115" spans="1:10" ht="21" x14ac:dyDescent="0.35">
      <c r="A115" s="25"/>
      <c r="B115" s="24" t="s">
        <v>46</v>
      </c>
      <c r="C115" s="24"/>
      <c r="D115" s="24"/>
      <c r="E115" s="24"/>
      <c r="F115" s="24"/>
      <c r="G115" s="25"/>
      <c r="H115" s="25"/>
      <c r="I115" s="24"/>
      <c r="J115" s="25"/>
    </row>
    <row r="116" spans="1:10" ht="21" x14ac:dyDescent="0.35">
      <c r="A116" s="25"/>
      <c r="B116" s="24" t="s">
        <v>47</v>
      </c>
      <c r="C116" s="24"/>
      <c r="D116" s="24"/>
      <c r="E116" s="24"/>
      <c r="F116" s="24"/>
      <c r="G116" s="25"/>
      <c r="H116" s="25"/>
      <c r="I116" s="24"/>
      <c r="J116" s="25"/>
    </row>
    <row r="117" spans="1:10" ht="21" x14ac:dyDescent="0.35">
      <c r="A117" s="27">
        <v>3</v>
      </c>
      <c r="B117" s="28" t="s">
        <v>48</v>
      </c>
      <c r="C117" s="24"/>
      <c r="D117" s="24"/>
      <c r="E117" s="24"/>
      <c r="F117" s="24"/>
      <c r="G117" s="24"/>
      <c r="H117" s="25"/>
      <c r="I117" s="24"/>
      <c r="J117" s="24"/>
    </row>
    <row r="118" spans="1:10" ht="21" x14ac:dyDescent="0.35">
      <c r="A118" s="27">
        <v>4</v>
      </c>
      <c r="B118" s="28" t="s">
        <v>49</v>
      </c>
      <c r="C118" s="24"/>
      <c r="D118" s="24"/>
      <c r="E118" s="24"/>
      <c r="F118" s="24"/>
      <c r="G118" s="24"/>
      <c r="H118" s="25"/>
      <c r="I118" s="24"/>
      <c r="J118" s="24"/>
    </row>
    <row r="119" spans="1:10" ht="21" x14ac:dyDescent="0.35">
      <c r="A119" s="27">
        <v>5</v>
      </c>
      <c r="B119" s="28" t="s">
        <v>37</v>
      </c>
      <c r="C119" s="24"/>
      <c r="D119" s="24"/>
      <c r="E119" s="24"/>
      <c r="F119" s="24"/>
      <c r="G119" s="24"/>
      <c r="H119" s="25"/>
      <c r="I119" s="24"/>
      <c r="J119" s="24"/>
    </row>
  </sheetData>
  <autoFilter ref="J1:J119"/>
  <mergeCells count="17">
    <mergeCell ref="A1:X1"/>
    <mergeCell ref="A2:X2"/>
    <mergeCell ref="A3:X3"/>
    <mergeCell ref="X5:X6"/>
    <mergeCell ref="H5:L5"/>
    <mergeCell ref="M5:V5"/>
    <mergeCell ref="W5:W6"/>
    <mergeCell ref="A5:A6"/>
    <mergeCell ref="B5:B6"/>
    <mergeCell ref="C5:C6"/>
    <mergeCell ref="D5:D6"/>
    <mergeCell ref="E5:E6"/>
    <mergeCell ref="A101:J101"/>
    <mergeCell ref="A103:F103"/>
    <mergeCell ref="A99:B99"/>
    <mergeCell ref="F5:F6"/>
    <mergeCell ref="G5:G6"/>
  </mergeCells>
  <printOptions horizontalCentered="1"/>
  <pageMargins left="0.23622047244094491" right="0.23622047244094491" top="0.74803149606299213" bottom="0.39370078740157483" header="0.31496062992125984" footer="0.31496062992125984"/>
  <pageSetup paperSize="9" scale="47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C12" sqref="C12"/>
    </sheetView>
  </sheetViews>
  <sheetFormatPr defaultRowHeight="14.25" x14ac:dyDescent="0.2"/>
  <cols>
    <col min="1" max="2" width="13.875" customWidth="1"/>
    <col min="3" max="3" width="82.625" customWidth="1"/>
  </cols>
  <sheetData>
    <row r="1" spans="1:2" s="181" customFormat="1" ht="42.75" customHeight="1" x14ac:dyDescent="0.2">
      <c r="A1" s="181" t="s">
        <v>438</v>
      </c>
      <c r="B1" s="181" t="s">
        <v>439</v>
      </c>
    </row>
    <row r="2" spans="1:2" ht="39.75" customHeight="1" x14ac:dyDescent="0.2">
      <c r="B2" s="181" t="s">
        <v>440</v>
      </c>
    </row>
    <row r="3" spans="1:2" ht="29.25" customHeight="1" x14ac:dyDescent="0.2">
      <c r="B3" s="181" t="s">
        <v>441</v>
      </c>
    </row>
    <row r="4" spans="1:2" ht="35.25" customHeight="1" x14ac:dyDescent="0.2">
      <c r="B4" s="181" t="s">
        <v>442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opLeftCell="A7" workbookViewId="0">
      <selection activeCell="D19" sqref="D19"/>
    </sheetView>
  </sheetViews>
  <sheetFormatPr defaultRowHeight="14.25" x14ac:dyDescent="0.2"/>
  <cols>
    <col min="1" max="1" width="13.875" customWidth="1"/>
    <col min="2" max="2" width="11.625" customWidth="1"/>
    <col min="3" max="3" width="16" customWidth="1"/>
    <col min="4" max="5" width="15.625" customWidth="1"/>
    <col min="6" max="6" width="14.625" customWidth="1"/>
    <col min="7" max="7" width="12.875" customWidth="1"/>
    <col min="8" max="8" width="18.875" customWidth="1"/>
  </cols>
  <sheetData>
    <row r="1" spans="1:8" x14ac:dyDescent="0.2">
      <c r="C1">
        <f>1.2375*25/100</f>
        <v>0.30937500000000001</v>
      </c>
    </row>
    <row r="3" spans="1:8" x14ac:dyDescent="0.2">
      <c r="C3">
        <f>0.25*5</f>
        <v>1.25</v>
      </c>
    </row>
    <row r="6" spans="1:8" x14ac:dyDescent="0.2">
      <c r="C6">
        <f>5*1248</f>
        <v>6240</v>
      </c>
    </row>
    <row r="7" spans="1:8" x14ac:dyDescent="0.2">
      <c r="D7">
        <v>1</v>
      </c>
    </row>
    <row r="8" spans="1:8" x14ac:dyDescent="0.2">
      <c r="B8">
        <v>1</v>
      </c>
    </row>
    <row r="9" spans="1:8" x14ac:dyDescent="0.2">
      <c r="A9">
        <v>1.2496</v>
      </c>
      <c r="B9">
        <v>1</v>
      </c>
      <c r="C9">
        <f>A9*0.25/100</f>
        <v>3.124E-3</v>
      </c>
      <c r="D9">
        <f>5*0.2</f>
        <v>1</v>
      </c>
      <c r="H9" s="241">
        <f>4.9985*0.25</f>
        <v>1.249625</v>
      </c>
    </row>
    <row r="10" spans="1:8" x14ac:dyDescent="0.2">
      <c r="A10">
        <v>1.25</v>
      </c>
      <c r="B10">
        <v>1</v>
      </c>
    </row>
    <row r="11" spans="1:8" x14ac:dyDescent="0.2">
      <c r="A11">
        <v>1.25</v>
      </c>
      <c r="B11">
        <f>4.82*0.2</f>
        <v>0.96400000000000008</v>
      </c>
      <c r="C11">
        <f>5*0.25</f>
        <v>1.25</v>
      </c>
      <c r="D11" s="236">
        <f>4.9*0.2</f>
        <v>0.98000000000000009</v>
      </c>
      <c r="H11">
        <f>4.55*0.2</f>
        <v>0.91</v>
      </c>
    </row>
    <row r="12" spans="1:8" x14ac:dyDescent="0.2">
      <c r="A12">
        <v>1.25</v>
      </c>
      <c r="B12">
        <v>1</v>
      </c>
    </row>
    <row r="13" spans="1:8" x14ac:dyDescent="0.2">
      <c r="A13" s="239">
        <f>A9+A10+A11+A12</f>
        <v>4.9996</v>
      </c>
      <c r="B13" s="239">
        <f>B9+B10+B11+B12+B8</f>
        <v>4.9640000000000004</v>
      </c>
      <c r="C13">
        <v>1.25</v>
      </c>
      <c r="D13">
        <v>1</v>
      </c>
      <c r="F13">
        <v>1</v>
      </c>
    </row>
    <row r="14" spans="1:8" x14ac:dyDescent="0.2">
      <c r="F14">
        <v>1</v>
      </c>
    </row>
    <row r="15" spans="1:8" x14ac:dyDescent="0.2">
      <c r="A15" s="240">
        <f>A13*100/5</f>
        <v>99.99199999999999</v>
      </c>
      <c r="B15" s="240">
        <f>4.964*100/5</f>
        <v>99.28</v>
      </c>
      <c r="C15">
        <v>1.25</v>
      </c>
      <c r="D15">
        <v>1</v>
      </c>
      <c r="F15">
        <v>1</v>
      </c>
      <c r="H15">
        <f>4.9997*100/5</f>
        <v>99.994</v>
      </c>
    </row>
    <row r="16" spans="1:8" x14ac:dyDescent="0.2">
      <c r="F16">
        <v>1</v>
      </c>
    </row>
    <row r="17" spans="1:8" x14ac:dyDescent="0.2">
      <c r="A17">
        <f>A15*80/100</f>
        <v>79.993599999999986</v>
      </c>
      <c r="B17" s="236">
        <f>B15*20/100</f>
        <v>19.855999999999998</v>
      </c>
      <c r="C17">
        <f>C9+C11+C13+C15</f>
        <v>3.7531239999999997</v>
      </c>
      <c r="D17">
        <f>D7+D9+D11+D13+D15</f>
        <v>4.9800000000000004</v>
      </c>
      <c r="E17">
        <v>4.5</v>
      </c>
      <c r="F17">
        <f>E17*0.2</f>
        <v>0.9</v>
      </c>
      <c r="H17">
        <f>H15*80/100</f>
        <v>79.995200000000011</v>
      </c>
    </row>
    <row r="19" spans="1:8" x14ac:dyDescent="0.2">
      <c r="F19">
        <f>F13+F14+F15+F16+F17</f>
        <v>4.9000000000000004</v>
      </c>
    </row>
    <row r="20" spans="1:8" x14ac:dyDescent="0.2">
      <c r="B20" s="241">
        <f>A17+B17</f>
        <v>99.849599999999981</v>
      </c>
      <c r="D20" s="235">
        <f>4.9*100/5</f>
        <v>98.000000000000014</v>
      </c>
      <c r="H20">
        <f>98.2*20/100</f>
        <v>19.64</v>
      </c>
    </row>
    <row r="21" spans="1:8" x14ac:dyDescent="0.2">
      <c r="A21" s="235"/>
      <c r="C21">
        <f>4.9985*100/5</f>
        <v>99.97</v>
      </c>
    </row>
    <row r="22" spans="1:8" x14ac:dyDescent="0.2">
      <c r="D22" s="235">
        <f>98*20/100</f>
        <v>19.600000000000001</v>
      </c>
      <c r="F22">
        <f>4.85*0.2</f>
        <v>0.97</v>
      </c>
    </row>
    <row r="23" spans="1:8" x14ac:dyDescent="0.2">
      <c r="A23">
        <f>4.9985*0.25</f>
        <v>1.249625</v>
      </c>
      <c r="H23">
        <f>H17+H20</f>
        <v>99.635200000000012</v>
      </c>
    </row>
    <row r="25" spans="1:8" x14ac:dyDescent="0.2">
      <c r="C25" s="238">
        <v>99.998500000000007</v>
      </c>
      <c r="D25" s="237">
        <v>80</v>
      </c>
      <c r="E25" s="238">
        <f>C25*D25/100</f>
        <v>79.998800000000017</v>
      </c>
      <c r="F25">
        <f>4.97*100/5</f>
        <v>99.4</v>
      </c>
    </row>
    <row r="26" spans="1:8" x14ac:dyDescent="0.2">
      <c r="C26" s="237">
        <v>98</v>
      </c>
      <c r="D26" s="237">
        <v>20</v>
      </c>
      <c r="E26" s="238">
        <f>C26*D26/100</f>
        <v>19.600000000000001</v>
      </c>
    </row>
    <row r="27" spans="1:8" x14ac:dyDescent="0.2">
      <c r="C27" s="237"/>
      <c r="D27" s="237"/>
      <c r="E27" s="237"/>
    </row>
    <row r="28" spans="1:8" x14ac:dyDescent="0.2">
      <c r="C28" s="237"/>
      <c r="D28" s="237"/>
      <c r="E28" s="237">
        <f>E25+E26</f>
        <v>99.598800000000011</v>
      </c>
      <c r="F28">
        <f>C21+F25</f>
        <v>199.37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1:K3"/>
  <sheetViews>
    <sheetView workbookViewId="0">
      <selection activeCell="J23" sqref="J23"/>
    </sheetView>
  </sheetViews>
  <sheetFormatPr defaultRowHeight="14.25" x14ac:dyDescent="0.2"/>
  <cols>
    <col min="9" max="9" width="18.375" style="237" customWidth="1"/>
    <col min="10" max="10" width="13.25" style="237" customWidth="1"/>
    <col min="11" max="11" width="17.125" style="237" customWidth="1"/>
  </cols>
  <sheetData>
    <row r="1" spans="9:11" x14ac:dyDescent="0.2">
      <c r="I1" s="237">
        <v>914300</v>
      </c>
    </row>
    <row r="2" spans="9:11" x14ac:dyDescent="0.2">
      <c r="I2" s="237">
        <v>885700</v>
      </c>
      <c r="J2" s="237">
        <v>93210</v>
      </c>
      <c r="K2" s="237">
        <f>I2-J2</f>
        <v>792490</v>
      </c>
    </row>
    <row r="3" spans="9:11" x14ac:dyDescent="0.2">
      <c r="I3" s="242">
        <f>I1+I2</f>
        <v>1800000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24"/>
  <sheetViews>
    <sheetView zoomScale="90" zoomScaleNormal="90" workbookViewId="0">
      <selection activeCell="K5" sqref="K5"/>
    </sheetView>
  </sheetViews>
  <sheetFormatPr defaultColWidth="8.875" defaultRowHeight="21" x14ac:dyDescent="0.35"/>
  <cols>
    <col min="1" max="1" width="7.125" style="551" customWidth="1"/>
    <col min="2" max="2" width="60.125" style="560" customWidth="1"/>
    <col min="3" max="3" width="16.25" style="550" customWidth="1"/>
    <col min="4" max="4" width="15.875" style="550" customWidth="1"/>
    <col min="5" max="5" width="6.625" style="550" customWidth="1"/>
    <col min="6" max="6" width="17.375" style="550" customWidth="1"/>
    <col min="7" max="7" width="7.875" style="550" customWidth="1"/>
    <col min="8" max="10" width="14.125" style="550" customWidth="1"/>
    <col min="11" max="11" width="44.625" style="550" customWidth="1"/>
    <col min="12" max="12" width="13.625" style="549" customWidth="1"/>
    <col min="13" max="13" width="16.375" style="549" customWidth="1"/>
    <col min="14" max="16384" width="8.875" style="549"/>
  </cols>
  <sheetData>
    <row r="1" spans="1:12" ht="24" customHeight="1" x14ac:dyDescent="0.65">
      <c r="F1" s="1362" t="s">
        <v>737</v>
      </c>
      <c r="G1" s="1362"/>
      <c r="H1" s="1362"/>
      <c r="I1" s="1362"/>
      <c r="J1" s="1362"/>
      <c r="K1" s="1362"/>
    </row>
    <row r="3" spans="1:12" x14ac:dyDescent="0.2">
      <c r="A3" s="1361" t="s">
        <v>507</v>
      </c>
      <c r="B3" s="1363" t="s">
        <v>555</v>
      </c>
      <c r="C3" s="1365" t="s">
        <v>554</v>
      </c>
      <c r="D3" s="1368" t="s">
        <v>553</v>
      </c>
      <c r="E3" s="1369"/>
      <c r="F3" s="1369"/>
      <c r="G3" s="1369"/>
      <c r="H3" s="1369"/>
      <c r="I3" s="1370"/>
      <c r="J3" s="881"/>
      <c r="K3" s="1367" t="s">
        <v>552</v>
      </c>
    </row>
    <row r="4" spans="1:12" x14ac:dyDescent="0.2">
      <c r="A4" s="1361"/>
      <c r="B4" s="1364"/>
      <c r="C4" s="1366"/>
      <c r="D4" s="555" t="s">
        <v>367</v>
      </c>
      <c r="E4" s="555" t="s">
        <v>328</v>
      </c>
      <c r="F4" s="555" t="s">
        <v>368</v>
      </c>
      <c r="G4" s="555" t="s">
        <v>328</v>
      </c>
      <c r="H4" s="555"/>
      <c r="I4" s="555" t="s">
        <v>328</v>
      </c>
      <c r="J4" s="880"/>
      <c r="K4" s="1366"/>
    </row>
    <row r="5" spans="1:12" s="885" customFormat="1" ht="65.25" customHeight="1" x14ac:dyDescent="0.2">
      <c r="A5" s="556">
        <v>1</v>
      </c>
      <c r="B5" s="882" t="s">
        <v>696</v>
      </c>
      <c r="C5" s="883">
        <v>174415791.30000001</v>
      </c>
      <c r="D5" s="884">
        <v>172724030.97</v>
      </c>
      <c r="E5" s="884">
        <f>D5/C5*100</f>
        <v>99.030041765490068</v>
      </c>
      <c r="F5" s="884">
        <v>0</v>
      </c>
      <c r="G5" s="884">
        <f>F5/C5*100</f>
        <v>0</v>
      </c>
      <c r="H5" s="883"/>
      <c r="I5" s="883"/>
      <c r="J5" s="883">
        <v>1691760.33</v>
      </c>
      <c r="K5" s="886" t="s">
        <v>738</v>
      </c>
      <c r="L5" s="891"/>
    </row>
    <row r="6" spans="1:12" s="885" customFormat="1" ht="90" customHeight="1" x14ac:dyDescent="0.2">
      <c r="A6" s="558">
        <v>2</v>
      </c>
      <c r="B6" s="888" t="s">
        <v>697</v>
      </c>
      <c r="C6" s="887">
        <v>219926100</v>
      </c>
      <c r="D6" s="887">
        <v>139400360.61000001</v>
      </c>
      <c r="E6" s="887">
        <f>D6/C6*100</f>
        <v>63.385091905872024</v>
      </c>
      <c r="F6" s="887">
        <f>C6-D6</f>
        <v>80525739.389999986</v>
      </c>
      <c r="G6" s="887">
        <f>F6/C6*100</f>
        <v>36.614908094127976</v>
      </c>
      <c r="H6" s="887"/>
      <c r="I6" s="887"/>
      <c r="J6" s="887"/>
      <c r="K6" s="897" t="s">
        <v>702</v>
      </c>
      <c r="L6" s="891"/>
    </row>
    <row r="7" spans="1:12" s="885" customFormat="1" ht="91.5" customHeight="1" x14ac:dyDescent="0.2">
      <c r="A7" s="556">
        <v>3</v>
      </c>
      <c r="B7" s="867" t="s">
        <v>698</v>
      </c>
      <c r="C7" s="889">
        <v>57420216</v>
      </c>
      <c r="D7" s="889">
        <v>14602450</v>
      </c>
      <c r="E7" s="889">
        <f>D7/C7*100</f>
        <v>25.430851740439291</v>
      </c>
      <c r="F7" s="889">
        <f>C7-D7-H7</f>
        <v>42700000</v>
      </c>
      <c r="G7" s="889">
        <f>F7/C7*100</f>
        <v>74.364053245637379</v>
      </c>
      <c r="H7" s="889">
        <v>117766</v>
      </c>
      <c r="I7" s="889">
        <f>H7/C7*100</f>
        <v>0.20509501392331927</v>
      </c>
      <c r="J7" s="889">
        <f>F7+H7</f>
        <v>42817766</v>
      </c>
      <c r="K7" s="890"/>
      <c r="L7" s="891"/>
    </row>
    <row r="8" spans="1:12" s="885" customFormat="1" ht="50.25" customHeight="1" x14ac:dyDescent="0.2">
      <c r="A8" s="558">
        <v>4</v>
      </c>
      <c r="B8" s="892" t="s">
        <v>551</v>
      </c>
      <c r="C8" s="868">
        <f>1800000+490400</f>
        <v>2290400</v>
      </c>
      <c r="D8" s="868">
        <f>C8-F8-H8</f>
        <v>1799410</v>
      </c>
      <c r="E8" s="868">
        <f>D8/C8*100</f>
        <v>78.563133077191765</v>
      </c>
      <c r="F8" s="868">
        <v>490400</v>
      </c>
      <c r="G8" s="868">
        <f>F8/C8*100</f>
        <v>21.411107230178132</v>
      </c>
      <c r="H8" s="868">
        <v>590</v>
      </c>
      <c r="I8" s="868"/>
      <c r="J8" s="868"/>
      <c r="K8" s="893" t="s">
        <v>556</v>
      </c>
    </row>
    <row r="9" spans="1:12" s="885" customFormat="1" ht="127.5" customHeight="1" x14ac:dyDescent="0.2">
      <c r="A9" s="556">
        <v>5</v>
      </c>
      <c r="B9" s="867" t="s">
        <v>708</v>
      </c>
      <c r="C9" s="568">
        <v>440700</v>
      </c>
      <c r="D9" s="568">
        <v>430900</v>
      </c>
      <c r="E9" s="568">
        <f>D9/C9*100</f>
        <v>97.776265032902202</v>
      </c>
      <c r="F9" s="568">
        <v>0</v>
      </c>
      <c r="G9" s="568">
        <f>F9/C9*100</f>
        <v>0</v>
      </c>
      <c r="H9" s="568">
        <v>9800</v>
      </c>
      <c r="I9" s="568">
        <f>H9/C9*100</f>
        <v>2.2237349670977991</v>
      </c>
      <c r="J9" s="568"/>
      <c r="K9" s="900" t="s">
        <v>709</v>
      </c>
    </row>
    <row r="10" spans="1:12" s="870" customFormat="1" ht="80.25" customHeight="1" x14ac:dyDescent="0.2">
      <c r="A10" s="559">
        <v>6</v>
      </c>
      <c r="B10" s="871" t="s">
        <v>699</v>
      </c>
      <c r="C10" s="868">
        <v>22145300</v>
      </c>
      <c r="D10" s="868">
        <v>0</v>
      </c>
      <c r="E10" s="868">
        <v>0</v>
      </c>
      <c r="F10" s="868">
        <f>C10-D10</f>
        <v>22145300</v>
      </c>
      <c r="G10" s="868">
        <v>100</v>
      </c>
      <c r="H10" s="868"/>
      <c r="I10" s="868"/>
      <c r="J10" s="868"/>
      <c r="K10" s="898" t="s">
        <v>703</v>
      </c>
      <c r="L10" s="869"/>
    </row>
    <row r="11" spans="1:12" s="557" customFormat="1" ht="144.75" customHeight="1" x14ac:dyDescent="0.2">
      <c r="A11" s="556">
        <v>7</v>
      </c>
      <c r="B11" s="902" t="s">
        <v>707</v>
      </c>
      <c r="C11" s="568">
        <v>49996500</v>
      </c>
      <c r="D11" s="568"/>
      <c r="E11" s="568"/>
      <c r="F11" s="568">
        <v>49996500</v>
      </c>
      <c r="G11" s="568"/>
      <c r="H11" s="568"/>
      <c r="I11" s="568"/>
      <c r="J11" s="568"/>
      <c r="K11" s="900" t="s">
        <v>706</v>
      </c>
    </row>
    <row r="12" spans="1:12" s="557" customFormat="1" ht="103.5" customHeight="1" x14ac:dyDescent="0.2">
      <c r="A12" s="556">
        <v>8</v>
      </c>
      <c r="B12" s="867" t="s">
        <v>694</v>
      </c>
      <c r="C12" s="568">
        <v>10104400</v>
      </c>
      <c r="D12" s="568"/>
      <c r="E12" s="568"/>
      <c r="F12" s="568">
        <v>10104400</v>
      </c>
      <c r="G12" s="568"/>
      <c r="H12" s="568"/>
      <c r="I12" s="568"/>
      <c r="J12" s="568"/>
      <c r="K12" s="899" t="s">
        <v>704</v>
      </c>
    </row>
    <row r="13" spans="1:12" x14ac:dyDescent="0.35">
      <c r="K13" s="901">
        <f>F12+77000</f>
        <v>10181400</v>
      </c>
    </row>
    <row r="22" spans="1:12" s="550" customFormat="1" ht="24" x14ac:dyDescent="0.5">
      <c r="A22" s="552"/>
      <c r="B22" s="560"/>
      <c r="K22" s="554">
        <v>518000</v>
      </c>
      <c r="L22" s="549"/>
    </row>
    <row r="23" spans="1:12" s="550" customFormat="1" x14ac:dyDescent="0.35">
      <c r="A23" s="552"/>
      <c r="B23" s="560"/>
      <c r="K23" s="553">
        <v>545100</v>
      </c>
      <c r="L23" s="549"/>
    </row>
    <row r="24" spans="1:12" s="550" customFormat="1" x14ac:dyDescent="0.35">
      <c r="A24" s="552"/>
      <c r="B24" s="560"/>
      <c r="K24" s="550">
        <f>SUM(K22:K23)</f>
        <v>1063100</v>
      </c>
      <c r="L24" s="549"/>
    </row>
  </sheetData>
  <mergeCells count="6">
    <mergeCell ref="A3:A4"/>
    <mergeCell ref="F1:K1"/>
    <mergeCell ref="B3:B4"/>
    <mergeCell ref="C3:C4"/>
    <mergeCell ref="K3:K4"/>
    <mergeCell ref="D3:I3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9"/>
  <sheetViews>
    <sheetView topLeftCell="E1" zoomScale="120" zoomScaleNormal="120" workbookViewId="0">
      <selection activeCell="K7" sqref="K7"/>
    </sheetView>
  </sheetViews>
  <sheetFormatPr defaultRowHeight="14.25" x14ac:dyDescent="0.2"/>
  <cols>
    <col min="1" max="1" width="19.875" customWidth="1"/>
    <col min="2" max="2" width="19.875" hidden="1" customWidth="1"/>
    <col min="3" max="3" width="13.625" style="237" hidden="1" customWidth="1"/>
    <col min="4" max="4" width="16.875" style="237" hidden="1" customWidth="1"/>
    <col min="5" max="5" width="19.875" customWidth="1"/>
    <col min="6" max="6" width="13.625" style="237" customWidth="1"/>
    <col min="7" max="7" width="16.875" style="237" customWidth="1"/>
    <col min="8" max="8" width="21.625" style="237" customWidth="1"/>
    <col min="9" max="9" width="17.375" style="237" customWidth="1"/>
    <col min="10" max="10" width="21.25" style="237" customWidth="1"/>
    <col min="11" max="11" width="15.25" style="237" customWidth="1"/>
    <col min="13" max="13" width="14.625" style="237" customWidth="1"/>
    <col min="14" max="14" width="17.625" customWidth="1"/>
    <col min="15" max="15" width="13.875" customWidth="1"/>
  </cols>
  <sheetData>
    <row r="1" spans="1:15" ht="37.5" customHeight="1" x14ac:dyDescent="0.2">
      <c r="A1" s="1371" t="s">
        <v>537</v>
      </c>
      <c r="B1" s="1371"/>
      <c r="C1" s="1371"/>
      <c r="D1" s="1371"/>
      <c r="E1" s="1371"/>
      <c r="F1" s="1371"/>
      <c r="G1" s="1371"/>
      <c r="H1" s="1371"/>
      <c r="I1" s="1371"/>
      <c r="J1" s="1371"/>
      <c r="K1" s="1371"/>
    </row>
    <row r="2" spans="1:15" ht="27" customHeight="1" x14ac:dyDescent="0.2">
      <c r="A2" s="296"/>
      <c r="B2" s="574" t="s">
        <v>566</v>
      </c>
      <c r="C2" s="633" t="s">
        <v>568</v>
      </c>
      <c r="D2" s="634" t="s">
        <v>569</v>
      </c>
      <c r="E2" s="574" t="s">
        <v>566</v>
      </c>
      <c r="F2" s="633" t="s">
        <v>568</v>
      </c>
      <c r="G2" s="634" t="s">
        <v>569</v>
      </c>
      <c r="H2" s="1372" t="s">
        <v>567</v>
      </c>
      <c r="I2" s="1373"/>
      <c r="J2" s="1372" t="s">
        <v>565</v>
      </c>
      <c r="K2" s="1374"/>
      <c r="M2" s="237">
        <v>5574000</v>
      </c>
      <c r="N2" s="237">
        <v>3140000</v>
      </c>
      <c r="O2" s="811">
        <f>M2-N2</f>
        <v>2434000</v>
      </c>
    </row>
    <row r="3" spans="1:15" s="294" customFormat="1" ht="34.5" customHeight="1" x14ac:dyDescent="0.2">
      <c r="A3" s="297" t="s">
        <v>208</v>
      </c>
      <c r="B3" s="580"/>
      <c r="C3" s="1375" t="s">
        <v>570</v>
      </c>
      <c r="D3" s="1376"/>
      <c r="E3" s="580"/>
      <c r="F3" s="1377" t="s">
        <v>692</v>
      </c>
      <c r="G3" s="1378"/>
      <c r="H3" s="586"/>
      <c r="I3" s="585"/>
      <c r="J3" s="575"/>
      <c r="K3" s="576"/>
      <c r="M3" s="809">
        <v>6508000</v>
      </c>
      <c r="N3" s="809">
        <v>5848000</v>
      </c>
      <c r="O3" s="812">
        <f>M3-N3</f>
        <v>660000</v>
      </c>
    </row>
    <row r="4" spans="1:15" s="294" customFormat="1" ht="40.5" customHeight="1" x14ac:dyDescent="0.2">
      <c r="A4" s="527" t="s">
        <v>510</v>
      </c>
      <c r="B4" s="581">
        <f>28210000+9000000</f>
        <v>37210000</v>
      </c>
      <c r="C4" s="583">
        <v>98</v>
      </c>
      <c r="D4" s="578">
        <v>100</v>
      </c>
      <c r="E4" s="865">
        <v>38563000</v>
      </c>
      <c r="F4" s="583">
        <v>98</v>
      </c>
      <c r="G4" s="578">
        <v>100</v>
      </c>
      <c r="H4" s="577">
        <v>31578746.399999999</v>
      </c>
      <c r="I4" s="583">
        <f>H4/E4*100</f>
        <v>81.888718201384748</v>
      </c>
      <c r="J4" s="702">
        <v>34552146.399999999</v>
      </c>
      <c r="K4" s="702">
        <f>J4/E4*100</f>
        <v>89.599217903171436</v>
      </c>
      <c r="M4" s="809"/>
      <c r="N4" s="809">
        <v>22145300</v>
      </c>
    </row>
    <row r="5" spans="1:15" s="294" customFormat="1" ht="42.75" customHeight="1" x14ac:dyDescent="0.2">
      <c r="A5" s="705" t="s">
        <v>511</v>
      </c>
      <c r="B5" s="706">
        <f>182716100</f>
        <v>182716100</v>
      </c>
      <c r="C5" s="701">
        <v>80</v>
      </c>
      <c r="D5" s="707">
        <v>100</v>
      </c>
      <c r="E5" s="866">
        <v>181363100</v>
      </c>
      <c r="F5" s="701">
        <v>80</v>
      </c>
      <c r="G5" s="707">
        <v>100</v>
      </c>
      <c r="H5" s="708">
        <v>94257232.209999993</v>
      </c>
      <c r="I5" s="701">
        <f>H5/E5*100</f>
        <v>51.971559931430363</v>
      </c>
      <c r="J5" s="701">
        <v>181328630.21000001</v>
      </c>
      <c r="K5" s="701">
        <f>J5/E5*100</f>
        <v>99.980994044543792</v>
      </c>
      <c r="M5" s="809"/>
      <c r="N5" s="809">
        <f>SUM(N2:N4)</f>
        <v>31133300</v>
      </c>
    </row>
    <row r="6" spans="1:15" s="295" customFormat="1" ht="34.5" customHeight="1" x14ac:dyDescent="0.75">
      <c r="A6" s="528" t="s">
        <v>512</v>
      </c>
      <c r="B6" s="582">
        <v>219926100</v>
      </c>
      <c r="C6" s="584">
        <v>94</v>
      </c>
      <c r="D6" s="579">
        <v>100</v>
      </c>
      <c r="E6" s="582">
        <v>219926100</v>
      </c>
      <c r="F6" s="584">
        <v>94</v>
      </c>
      <c r="G6" s="579">
        <v>100</v>
      </c>
      <c r="H6" s="594">
        <f>H4+H5</f>
        <v>125835978.60999998</v>
      </c>
      <c r="I6" s="584">
        <f>H6/E6*100</f>
        <v>57.217391937564479</v>
      </c>
      <c r="J6" s="703">
        <f>J4+J5</f>
        <v>215880776.61000001</v>
      </c>
      <c r="K6" s="704">
        <f>J6/E6*100</f>
        <v>98.160598769313879</v>
      </c>
      <c r="M6" s="810"/>
    </row>
    <row r="7" spans="1:15" s="295" customFormat="1" ht="34.5" customHeight="1" x14ac:dyDescent="0.6">
      <c r="A7" s="588" t="s">
        <v>520</v>
      </c>
      <c r="B7" s="589"/>
      <c r="C7" s="587"/>
      <c r="D7" s="590"/>
      <c r="E7" s="589"/>
      <c r="F7" s="587"/>
      <c r="G7" s="590"/>
      <c r="H7" s="589"/>
      <c r="I7" s="587">
        <f>I6-C6</f>
        <v>-36.782608062435521</v>
      </c>
      <c r="J7" s="587"/>
      <c r="K7" s="587">
        <f>K6-D6</f>
        <v>-1.8394012306861214</v>
      </c>
      <c r="M7" s="810"/>
    </row>
    <row r="8" spans="1:15" ht="21.75" customHeight="1" x14ac:dyDescent="0.2">
      <c r="E8" s="811"/>
    </row>
    <row r="9" spans="1:15" ht="22.5" customHeight="1" x14ac:dyDescent="0.2">
      <c r="K9" s="635" t="s">
        <v>691</v>
      </c>
    </row>
  </sheetData>
  <mergeCells count="5">
    <mergeCell ref="A1:K1"/>
    <mergeCell ref="H2:I2"/>
    <mergeCell ref="J2:K2"/>
    <mergeCell ref="C3:D3"/>
    <mergeCell ref="F3:G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N123"/>
  <sheetViews>
    <sheetView view="pageBreakPreview" zoomScale="40" zoomScaleNormal="26" zoomScaleSheetLayoutView="40" workbookViewId="0">
      <pane ySplit="6" topLeftCell="A7" activePane="bottomLeft" state="frozen"/>
      <selection pane="bottomLeft" activeCell="W8" sqref="W8"/>
    </sheetView>
  </sheetViews>
  <sheetFormatPr defaultColWidth="9" defaultRowHeight="22.5" x14ac:dyDescent="0.55000000000000004"/>
  <cols>
    <col min="1" max="1" width="4.125" style="183" customWidth="1"/>
    <col min="2" max="2" width="42" style="183" customWidth="1"/>
    <col min="3" max="3" width="21.125" style="183" hidden="1" customWidth="1"/>
    <col min="4" max="4" width="24.75" style="190" hidden="1" customWidth="1"/>
    <col min="5" max="5" width="27.875" style="190" hidden="1" customWidth="1"/>
    <col min="6" max="6" width="23" style="190" hidden="1" customWidth="1"/>
    <col min="7" max="7" width="8.375" style="183" hidden="1" customWidth="1"/>
    <col min="8" max="8" width="9.25" style="228" hidden="1" customWidth="1"/>
    <col min="9" max="9" width="8.375" style="228" hidden="1" customWidth="1"/>
    <col min="10" max="10" width="10" style="228" hidden="1" customWidth="1"/>
    <col min="11" max="11" width="10.25" style="183" hidden="1" customWidth="1"/>
    <col min="12" max="12" width="9.375" style="183" hidden="1" customWidth="1"/>
    <col min="13" max="13" width="12.25" style="183" hidden="1" customWidth="1"/>
    <col min="14" max="14" width="24.875" style="183" hidden="1" customWidth="1"/>
    <col min="15" max="15" width="24" style="183" hidden="1" customWidth="1"/>
    <col min="16" max="16" width="6.125" style="183" hidden="1" customWidth="1"/>
    <col min="17" max="17" width="27.75" style="190" customWidth="1"/>
    <col min="18" max="18" width="27.875" style="190" customWidth="1"/>
    <col min="19" max="19" width="25" style="190" customWidth="1"/>
    <col min="20" max="20" width="24" style="183" hidden="1" customWidth="1"/>
    <col min="21" max="21" width="27.75" style="183" customWidth="1"/>
    <col min="22" max="22" width="13.875" style="183" customWidth="1"/>
    <col min="23" max="23" width="25.875" style="183" customWidth="1"/>
    <col min="24" max="24" width="16.375" style="183" customWidth="1"/>
    <col min="25" max="25" width="24.875" style="183" customWidth="1"/>
    <col min="26" max="26" width="14.375" style="183" customWidth="1"/>
    <col min="27" max="28" width="21" style="183" customWidth="1"/>
    <col min="29" max="29" width="35.625" style="183" customWidth="1"/>
    <col min="30" max="30" width="15" style="183" hidden="1" customWidth="1"/>
    <col min="31" max="31" width="19.25" style="183" hidden="1" customWidth="1"/>
    <col min="32" max="32" width="20.25" style="183" hidden="1" customWidth="1"/>
    <col min="33" max="33" width="12.875" style="183" hidden="1" customWidth="1"/>
    <col min="34" max="34" width="33.875" style="183" hidden="1" customWidth="1"/>
    <col min="35" max="35" width="29" style="183" hidden="1" customWidth="1"/>
    <col min="36" max="37" width="0" style="183" hidden="1" customWidth="1"/>
    <col min="38" max="38" width="30.75" style="183" customWidth="1"/>
    <col min="39" max="39" width="9" style="183"/>
    <col min="40" max="40" width="49.625" style="183" customWidth="1"/>
    <col min="41" max="41" width="45.75" style="183" customWidth="1"/>
    <col min="42" max="16384" width="9" style="183"/>
  </cols>
  <sheetData>
    <row r="1" spans="1:38" ht="63.75" customHeight="1" x14ac:dyDescent="0.55000000000000004">
      <c r="A1" s="1344" t="s">
        <v>695</v>
      </c>
      <c r="B1" s="1344"/>
      <c r="C1" s="1344"/>
      <c r="D1" s="1344"/>
      <c r="E1" s="1344"/>
      <c r="F1" s="1344"/>
      <c r="G1" s="1344"/>
      <c r="H1" s="1344"/>
      <c r="I1" s="1344"/>
      <c r="J1" s="1344"/>
      <c r="K1" s="1344"/>
      <c r="L1" s="1344"/>
      <c r="M1" s="1344"/>
      <c r="N1" s="1344"/>
      <c r="O1" s="1344"/>
      <c r="P1" s="1344"/>
      <c r="Q1" s="1344"/>
      <c r="R1" s="1344"/>
      <c r="S1" s="1344"/>
      <c r="T1" s="1344"/>
      <c r="U1" s="1344"/>
      <c r="V1" s="1344"/>
      <c r="W1" s="1344"/>
      <c r="X1" s="1344"/>
      <c r="Y1" s="1344"/>
      <c r="Z1" s="1344"/>
      <c r="AA1" s="1344"/>
      <c r="AB1" s="1344"/>
      <c r="AC1" s="1344"/>
      <c r="AD1" s="182"/>
      <c r="AE1" s="182"/>
      <c r="AF1" s="182"/>
    </row>
    <row r="2" spans="1:38" ht="297.75" customHeight="1" x14ac:dyDescent="0.95">
      <c r="A2" s="182"/>
      <c r="B2" s="1345" t="s">
        <v>728</v>
      </c>
      <c r="C2" s="1346"/>
      <c r="D2" s="1346"/>
      <c r="E2" s="1346"/>
      <c r="F2" s="1346"/>
      <c r="G2" s="1346"/>
      <c r="H2" s="1346"/>
      <c r="I2" s="1346"/>
      <c r="J2" s="1346"/>
      <c r="K2" s="1346"/>
      <c r="L2" s="1346"/>
      <c r="M2" s="1346"/>
      <c r="N2" s="1346"/>
      <c r="O2" s="1346"/>
      <c r="P2" s="1346"/>
      <c r="Q2" s="1346"/>
      <c r="R2" s="1346"/>
      <c r="S2" s="1346"/>
      <c r="T2" s="1346"/>
      <c r="U2" s="1346"/>
      <c r="V2" s="1346"/>
      <c r="W2" s="1346"/>
      <c r="X2" s="1346"/>
      <c r="Y2" s="1346"/>
      <c r="Z2" s="1346"/>
      <c r="AA2" s="1346"/>
      <c r="AB2" s="1346"/>
      <c r="AC2" s="1346"/>
      <c r="AD2" s="182"/>
      <c r="AE2" s="182"/>
      <c r="AF2" s="182"/>
      <c r="AH2" s="511" t="e">
        <f>W7+Y7+#REF!</f>
        <v>#REF!</v>
      </c>
      <c r="AI2" s="521">
        <f>U7+W7</f>
        <v>370849354.58000004</v>
      </c>
    </row>
    <row r="3" spans="1:38" ht="33.75" customHeight="1" x14ac:dyDescent="0.55000000000000004">
      <c r="A3" s="184"/>
      <c r="B3" s="300"/>
      <c r="C3" s="184"/>
      <c r="D3" s="301"/>
      <c r="E3" s="185"/>
      <c r="F3" s="185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301"/>
      <c r="R3" s="185"/>
      <c r="S3" s="185"/>
      <c r="T3" s="184"/>
      <c r="U3" s="184"/>
      <c r="V3" s="184"/>
      <c r="W3" s="185"/>
      <c r="X3" s="184"/>
      <c r="Y3" s="921"/>
      <c r="Z3" s="922"/>
      <c r="AA3" s="1347"/>
      <c r="AB3" s="1347"/>
      <c r="AC3" s="1347"/>
      <c r="AD3" s="182"/>
      <c r="AE3" s="182"/>
      <c r="AF3" s="182"/>
    </row>
    <row r="4" spans="1:38" s="186" customFormat="1" ht="74.45" customHeight="1" x14ac:dyDescent="0.8">
      <c r="A4" s="1348" t="s">
        <v>0</v>
      </c>
      <c r="B4" s="1349" t="s">
        <v>722</v>
      </c>
      <c r="C4" s="1350"/>
      <c r="D4" s="1350"/>
      <c r="E4" s="1350"/>
      <c r="F4" s="1350"/>
      <c r="G4" s="1351" t="s">
        <v>182</v>
      </c>
      <c r="H4" s="1351"/>
      <c r="I4" s="1351"/>
      <c r="J4" s="1351"/>
      <c r="K4" s="1352" t="s">
        <v>225</v>
      </c>
      <c r="L4" s="1352"/>
      <c r="M4" s="1352"/>
      <c r="N4" s="611"/>
      <c r="O4" s="612"/>
      <c r="P4" s="612"/>
      <c r="Q4" s="1353" t="s">
        <v>693</v>
      </c>
      <c r="R4" s="1354"/>
      <c r="S4" s="1354"/>
      <c r="T4" s="612"/>
      <c r="U4" s="1355" t="s">
        <v>227</v>
      </c>
      <c r="V4" s="1355"/>
      <c r="W4" s="1355"/>
      <c r="X4" s="1355"/>
      <c r="Y4" s="1355"/>
      <c r="Z4" s="1355"/>
      <c r="AA4" s="836"/>
      <c r="AB4" s="872"/>
      <c r="AC4" s="1356" t="s">
        <v>523</v>
      </c>
      <c r="AD4" s="609"/>
      <c r="AE4" s="610"/>
      <c r="AF4" s="609"/>
    </row>
    <row r="5" spans="1:38" ht="102" customHeight="1" x14ac:dyDescent="0.95">
      <c r="A5" s="1348"/>
      <c r="B5" s="1359" t="s">
        <v>178</v>
      </c>
      <c r="C5" s="1360" t="s">
        <v>192</v>
      </c>
      <c r="D5" s="1337" t="s">
        <v>528</v>
      </c>
      <c r="E5" s="1338" t="s">
        <v>180</v>
      </c>
      <c r="F5" s="1338" t="s">
        <v>181</v>
      </c>
      <c r="G5" s="1343" t="s">
        <v>220</v>
      </c>
      <c r="H5" s="1343"/>
      <c r="I5" s="1333" t="s">
        <v>221</v>
      </c>
      <c r="J5" s="1333"/>
      <c r="K5" s="1334" t="s">
        <v>183</v>
      </c>
      <c r="L5" s="1335" t="s">
        <v>222</v>
      </c>
      <c r="M5" s="1335" t="s">
        <v>219</v>
      </c>
      <c r="N5" s="1336" t="s">
        <v>228</v>
      </c>
      <c r="O5" s="302" t="s">
        <v>328</v>
      </c>
      <c r="P5" s="302" t="s">
        <v>204</v>
      </c>
      <c r="Q5" s="1337" t="s">
        <v>528</v>
      </c>
      <c r="R5" s="1338" t="s">
        <v>180</v>
      </c>
      <c r="S5" s="1338" t="s">
        <v>181</v>
      </c>
      <c r="T5" s="302" t="s">
        <v>474</v>
      </c>
      <c r="U5" s="534" t="s">
        <v>519</v>
      </c>
      <c r="V5" s="535" t="s">
        <v>328</v>
      </c>
      <c r="W5" s="1339" t="s">
        <v>242</v>
      </c>
      <c r="X5" s="1340" t="s">
        <v>525</v>
      </c>
      <c r="Y5" s="1342" t="s">
        <v>421</v>
      </c>
      <c r="Z5" s="1331" t="s">
        <v>328</v>
      </c>
      <c r="AA5" s="631" t="s">
        <v>603</v>
      </c>
      <c r="AB5" s="631"/>
      <c r="AC5" s="1357"/>
      <c r="AD5" s="188" t="s">
        <v>392</v>
      </c>
      <c r="AE5" s="189" t="s">
        <v>396</v>
      </c>
      <c r="AF5" s="188" t="s">
        <v>401</v>
      </c>
      <c r="AH5" s="253" t="s">
        <v>527</v>
      </c>
      <c r="AL5" s="521"/>
    </row>
    <row r="6" spans="1:38" ht="30" customHeight="1" x14ac:dyDescent="0.55000000000000004">
      <c r="A6" s="1348"/>
      <c r="B6" s="1359"/>
      <c r="C6" s="1360"/>
      <c r="D6" s="1337"/>
      <c r="E6" s="1338"/>
      <c r="F6" s="1338"/>
      <c r="G6" s="187" t="s">
        <v>215</v>
      </c>
      <c r="H6" s="187" t="s">
        <v>216</v>
      </c>
      <c r="I6" s="187" t="s">
        <v>217</v>
      </c>
      <c r="J6" s="187" t="s">
        <v>216</v>
      </c>
      <c r="K6" s="1334"/>
      <c r="L6" s="1335"/>
      <c r="M6" s="1335"/>
      <c r="N6" s="1336"/>
      <c r="O6" s="191"/>
      <c r="P6" s="191"/>
      <c r="Q6" s="1337"/>
      <c r="R6" s="1338"/>
      <c r="S6" s="1338"/>
      <c r="T6" s="191"/>
      <c r="U6" s="536"/>
      <c r="V6" s="536"/>
      <c r="W6" s="1339"/>
      <c r="X6" s="1341"/>
      <c r="Y6" s="1342"/>
      <c r="Z6" s="1332"/>
      <c r="AA6" s="630"/>
      <c r="AB6" s="630"/>
      <c r="AC6" s="1358"/>
      <c r="AD6" s="192"/>
      <c r="AE6" s="193"/>
      <c r="AF6" s="192"/>
    </row>
    <row r="7" spans="1:38" s="306" customFormat="1" ht="66.75" customHeight="1" x14ac:dyDescent="1.25">
      <c r="A7" s="544"/>
      <c r="B7" s="879"/>
      <c r="C7" s="545"/>
      <c r="D7" s="532">
        <f>D8+D32+D58+D79</f>
        <v>37210000</v>
      </c>
      <c r="E7" s="565">
        <f>E8+E32+E58+E79</f>
        <v>182716100</v>
      </c>
      <c r="F7" s="546">
        <f>F8+F32+F58+F79</f>
        <v>219926100</v>
      </c>
      <c r="G7" s="532"/>
      <c r="H7" s="532"/>
      <c r="I7" s="532"/>
      <c r="J7" s="532"/>
      <c r="K7" s="532"/>
      <c r="L7" s="532"/>
      <c r="M7" s="532"/>
      <c r="N7" s="532">
        <f>N8+N32+N58+N79</f>
        <v>99171058</v>
      </c>
      <c r="O7" s="532">
        <f>N7/F7*100</f>
        <v>45.092900751661581</v>
      </c>
      <c r="P7" s="532">
        <f>P8+P32+P58+P79</f>
        <v>181328630.21000001</v>
      </c>
      <c r="Q7" s="532">
        <f>Q8+Q32+Q58+Q79</f>
        <v>38563000</v>
      </c>
      <c r="R7" s="532">
        <f t="shared" ref="R7:S7" si="0">R8+R32+R58+R79</f>
        <v>181363100</v>
      </c>
      <c r="S7" s="532">
        <f t="shared" si="0"/>
        <v>219926100</v>
      </c>
      <c r="T7" s="532">
        <f>T8+T32+T58+T79</f>
        <v>31523253.27</v>
      </c>
      <c r="U7" s="532">
        <f>U8+U32+U58+U79</f>
        <v>219834653.29000002</v>
      </c>
      <c r="V7" s="917">
        <f>U7/S7*100</f>
        <v>99.958419346316802</v>
      </c>
      <c r="W7" s="613">
        <f>W8+W32+W58+W79</f>
        <v>151014701.29000002</v>
      </c>
      <c r="X7" s="614">
        <f>W7/S7*100</f>
        <v>68.666111612036957</v>
      </c>
      <c r="Y7" s="815">
        <f>S7-W7-AA7</f>
        <v>68819951.999999985</v>
      </c>
      <c r="Z7" s="624">
        <f>Y7/S7*100</f>
        <v>31.292307734279827</v>
      </c>
      <c r="AA7" s="632">
        <f>AA8+AA32+AA58+AA79</f>
        <v>91446.71</v>
      </c>
      <c r="AB7" s="632">
        <f>AA7/S7*100</f>
        <v>4.1580653683214501E-2</v>
      </c>
      <c r="AC7" s="919">
        <f>W7+Y7+AA7</f>
        <v>219926100.00000003</v>
      </c>
      <c r="AD7" s="303"/>
      <c r="AE7" s="304"/>
      <c r="AF7" s="303">
        <f>2200856.17-W7-30000-61000</f>
        <v>-148904845.12000003</v>
      </c>
      <c r="AG7" s="305" t="e">
        <f>X7+Z7+#REF!</f>
        <v>#REF!</v>
      </c>
      <c r="AH7" s="494">
        <f>AH8+AH32+AH58+AH79</f>
        <v>41409400.670000002</v>
      </c>
      <c r="AI7" s="493">
        <f>AI8+AI32+AI58+AI79</f>
        <v>109605300.62</v>
      </c>
      <c r="AL7" s="606" t="e">
        <f>Y7+#REF!</f>
        <v>#REF!</v>
      </c>
    </row>
    <row r="8" spans="1:38" s="312" customFormat="1" ht="67.150000000000006" customHeight="1" x14ac:dyDescent="0.2">
      <c r="A8" s="307"/>
      <c r="B8" s="465" t="s">
        <v>526</v>
      </c>
      <c r="C8" s="308"/>
      <c r="D8" s="417">
        <f>D9+D11+D14+D17+D22+D27+D30</f>
        <v>5603600</v>
      </c>
      <c r="E8" s="566">
        <f>E9+E11+E14+E17+E22+E27+E30</f>
        <v>17846100</v>
      </c>
      <c r="F8" s="464">
        <f>F9+F11+F14+F17+F22+F27+F30</f>
        <v>23449700</v>
      </c>
      <c r="G8" s="417"/>
      <c r="H8" s="417"/>
      <c r="I8" s="417"/>
      <c r="J8" s="417"/>
      <c r="K8" s="417"/>
      <c r="L8" s="417"/>
      <c r="M8" s="417"/>
      <c r="N8" s="417">
        <v>0</v>
      </c>
      <c r="O8" s="417">
        <f>N8/F8*100</f>
        <v>0</v>
      </c>
      <c r="P8" s="417">
        <f>1320000+428630.21+495000+5580000+9988000</f>
        <v>17811630.210000001</v>
      </c>
      <c r="Q8" s="566">
        <v>6708300</v>
      </c>
      <c r="R8" s="566">
        <v>17846100</v>
      </c>
      <c r="S8" s="464">
        <f>Q8+R8</f>
        <v>24554400</v>
      </c>
      <c r="T8" s="417">
        <v>4862301.0599999996</v>
      </c>
      <c r="U8" s="537">
        <f>W8+500000</f>
        <v>24494870.210000001</v>
      </c>
      <c r="V8" s="538">
        <f>U8/S8*100</f>
        <v>99.757559581989383</v>
      </c>
      <c r="W8" s="615">
        <v>23994870.210000001</v>
      </c>
      <c r="X8" s="616">
        <f>W8/S8*100</f>
        <v>97.721264661323431</v>
      </c>
      <c r="Y8" s="815">
        <f>S8-W8-AA8</f>
        <v>499999.99999999913</v>
      </c>
      <c r="Z8" s="624">
        <f>Y8/F8*100</f>
        <v>2.1322234399587163</v>
      </c>
      <c r="AA8" s="632">
        <v>59529.79</v>
      </c>
      <c r="AB8" s="632">
        <f>AA8/S8*100</f>
        <v>0.24244041801062133</v>
      </c>
      <c r="AC8" s="873">
        <f>W8+Y8+AA8</f>
        <v>24554400</v>
      </c>
      <c r="AD8" s="309"/>
      <c r="AE8" s="310"/>
      <c r="AF8" s="309">
        <f>438400-W8</f>
        <v>-23556470.210000001</v>
      </c>
      <c r="AG8" s="311" t="e">
        <f>X8+Z8+#REF!</f>
        <v>#REF!</v>
      </c>
      <c r="AH8" s="484">
        <v>16409570.210000001</v>
      </c>
      <c r="AI8" s="496">
        <f>W8-AH8</f>
        <v>7585300</v>
      </c>
      <c r="AJ8" s="312">
        <v>0</v>
      </c>
      <c r="AK8" s="312">
        <v>0</v>
      </c>
    </row>
    <row r="9" spans="1:38" s="315" customFormat="1" ht="53.25" hidden="1" customHeight="1" x14ac:dyDescent="0.2">
      <c r="A9" s="313">
        <v>1</v>
      </c>
      <c r="B9" s="314" t="s">
        <v>409</v>
      </c>
      <c r="C9" s="314" t="s">
        <v>248</v>
      </c>
      <c r="D9" s="418">
        <f>SUM(D10:D10)</f>
        <v>0</v>
      </c>
      <c r="E9" s="418">
        <f>SUM(E10:E10)</f>
        <v>1768100</v>
      </c>
      <c r="F9" s="418">
        <f>D9+E9</f>
        <v>1768100</v>
      </c>
      <c r="G9" s="419"/>
      <c r="H9" s="419"/>
      <c r="I9" s="419"/>
      <c r="J9" s="419"/>
      <c r="K9" s="419"/>
      <c r="L9" s="419"/>
      <c r="M9" s="420"/>
      <c r="N9" s="418">
        <f>SUM(N10:N10)</f>
        <v>0</v>
      </c>
      <c r="O9" s="421"/>
      <c r="P9" s="421"/>
      <c r="Q9" s="418">
        <f>SUM(Q10:Q10)</f>
        <v>0</v>
      </c>
      <c r="R9" s="418">
        <f>SUM(R10:R10)</f>
        <v>1768100</v>
      </c>
      <c r="S9" s="418">
        <f>Q9+R9</f>
        <v>1768100</v>
      </c>
      <c r="T9" s="421"/>
      <c r="U9" s="539"/>
      <c r="V9" s="539"/>
      <c r="W9" s="617">
        <f>SUM(W10:W10)</f>
        <v>0</v>
      </c>
      <c r="X9" s="616">
        <f t="shared" ref="X9:X38" si="1">W9/F9*100</f>
        <v>0</v>
      </c>
      <c r="Y9" s="815" t="e">
        <f>F9-W9-#REF!</f>
        <v>#REF!</v>
      </c>
      <c r="Z9" s="625"/>
      <c r="AA9" s="632" t="e">
        <f>#REF!-#REF!</f>
        <v>#REF!</v>
      </c>
      <c r="AB9" s="632"/>
      <c r="AC9" s="874">
        <f>AC8/F7*100</f>
        <v>11.164841280775677</v>
      </c>
      <c r="AD9" s="198"/>
      <c r="AE9" s="199"/>
      <c r="AF9" s="200"/>
      <c r="AG9" s="311" t="e">
        <f>X9+Z9+#REF!</f>
        <v>#REF!</v>
      </c>
      <c r="AH9" s="485"/>
      <c r="AI9" s="497"/>
    </row>
    <row r="10" spans="1:38" s="204" customFormat="1" ht="36.75" hidden="1" customHeight="1" x14ac:dyDescent="0.2">
      <c r="A10" s="316"/>
      <c r="B10" s="317" t="s">
        <v>420</v>
      </c>
      <c r="C10" s="318" t="s">
        <v>248</v>
      </c>
      <c r="D10" s="422">
        <v>0</v>
      </c>
      <c r="E10" s="422">
        <v>1768100</v>
      </c>
      <c r="F10" s="422">
        <f>D10+E10</f>
        <v>1768100</v>
      </c>
      <c r="G10" s="423"/>
      <c r="H10" s="423"/>
      <c r="I10" s="423">
        <v>12</v>
      </c>
      <c r="J10" s="423">
        <v>3</v>
      </c>
      <c r="K10" s="423"/>
      <c r="L10" s="423">
        <v>5</v>
      </c>
      <c r="M10" s="424" t="s">
        <v>185</v>
      </c>
      <c r="N10" s="422">
        <v>0</v>
      </c>
      <c r="O10" s="425"/>
      <c r="P10" s="425"/>
      <c r="Q10" s="422">
        <v>0</v>
      </c>
      <c r="R10" s="422">
        <v>1768100</v>
      </c>
      <c r="S10" s="422">
        <f>Q10+R10</f>
        <v>1768100</v>
      </c>
      <c r="T10" s="425"/>
      <c r="U10" s="540"/>
      <c r="V10" s="540"/>
      <c r="W10" s="618">
        <v>0</v>
      </c>
      <c r="X10" s="616">
        <f t="shared" si="1"/>
        <v>0</v>
      </c>
      <c r="Y10" s="815" t="e">
        <f>F10-W10-#REF!</f>
        <v>#REF!</v>
      </c>
      <c r="Z10" s="626"/>
      <c r="AA10" s="632" t="e">
        <f>#REF!-#REF!</f>
        <v>#REF!</v>
      </c>
      <c r="AB10" s="632"/>
      <c r="AC10" s="875" t="s">
        <v>379</v>
      </c>
      <c r="AD10" s="201"/>
      <c r="AE10" s="202"/>
      <c r="AF10" s="203"/>
      <c r="AG10" s="311" t="e">
        <f>X10+Z10+#REF!</f>
        <v>#REF!</v>
      </c>
      <c r="AH10" s="486"/>
      <c r="AI10" s="498"/>
    </row>
    <row r="11" spans="1:38" s="204" customFormat="1" ht="34.5" hidden="1" customHeight="1" x14ac:dyDescent="0.2">
      <c r="A11" s="319">
        <v>2</v>
      </c>
      <c r="B11" s="320" t="s">
        <v>249</v>
      </c>
      <c r="C11" s="320" t="s">
        <v>250</v>
      </c>
      <c r="D11" s="426">
        <f>SUM(D12:D13)</f>
        <v>2700000</v>
      </c>
      <c r="E11" s="426">
        <f>SUM(E12:E13)</f>
        <v>0</v>
      </c>
      <c r="F11" s="426">
        <f>F12+F13</f>
        <v>2700000</v>
      </c>
      <c r="G11" s="427"/>
      <c r="H11" s="427"/>
      <c r="I11" s="427"/>
      <c r="J11" s="427"/>
      <c r="K11" s="427"/>
      <c r="L11" s="427"/>
      <c r="M11" s="428"/>
      <c r="N11" s="426">
        <f>SUM(N12:N13)</f>
        <v>0</v>
      </c>
      <c r="O11" s="429"/>
      <c r="P11" s="429"/>
      <c r="Q11" s="426">
        <f>SUM(Q12:Q13)</f>
        <v>2700000</v>
      </c>
      <c r="R11" s="426">
        <f>SUM(R12:R13)</f>
        <v>0</v>
      </c>
      <c r="S11" s="426">
        <f>S12+S13</f>
        <v>2700000</v>
      </c>
      <c r="T11" s="429"/>
      <c r="U11" s="430"/>
      <c r="V11" s="430"/>
      <c r="W11" s="619">
        <f>SUM(W12:W13)</f>
        <v>0</v>
      </c>
      <c r="X11" s="616">
        <f t="shared" si="1"/>
        <v>0</v>
      </c>
      <c r="Y11" s="815" t="e">
        <f>F11-W11-#REF!</f>
        <v>#REF!</v>
      </c>
      <c r="Z11" s="627"/>
      <c r="AA11" s="632" t="e">
        <f>#REF!-#REF!</f>
        <v>#REF!</v>
      </c>
      <c r="AB11" s="632"/>
      <c r="AC11" s="874"/>
      <c r="AD11" s="206"/>
      <c r="AE11" s="206"/>
      <c r="AF11" s="206"/>
      <c r="AG11" s="311" t="e">
        <f>X11+Z11+#REF!</f>
        <v>#REF!</v>
      </c>
      <c r="AH11" s="486"/>
      <c r="AI11" s="498"/>
    </row>
    <row r="12" spans="1:38" s="204" customFormat="1" ht="60" hidden="1" customHeight="1" x14ac:dyDescent="0.2">
      <c r="A12" s="316"/>
      <c r="B12" s="317" t="s">
        <v>381</v>
      </c>
      <c r="C12" s="318" t="s">
        <v>250</v>
      </c>
      <c r="D12" s="422">
        <v>2500000</v>
      </c>
      <c r="E12" s="422">
        <v>0</v>
      </c>
      <c r="F12" s="422">
        <f>D12+E12</f>
        <v>2500000</v>
      </c>
      <c r="G12" s="423">
        <v>10</v>
      </c>
      <c r="H12" s="423">
        <v>6</v>
      </c>
      <c r="I12" s="423"/>
      <c r="J12" s="423"/>
      <c r="K12" s="423">
        <v>2</v>
      </c>
      <c r="L12" s="423"/>
      <c r="M12" s="424" t="s">
        <v>185</v>
      </c>
      <c r="N12" s="422">
        <v>0</v>
      </c>
      <c r="O12" s="425"/>
      <c r="P12" s="425"/>
      <c r="Q12" s="422">
        <v>2500000</v>
      </c>
      <c r="R12" s="422">
        <v>0</v>
      </c>
      <c r="S12" s="422">
        <f>Q12+R12</f>
        <v>2500000</v>
      </c>
      <c r="T12" s="425"/>
      <c r="U12" s="540"/>
      <c r="V12" s="540"/>
      <c r="W12" s="618">
        <v>0</v>
      </c>
      <c r="X12" s="616">
        <f t="shared" si="1"/>
        <v>0</v>
      </c>
      <c r="Y12" s="815" t="e">
        <f>F12-W12-#REF!</f>
        <v>#REF!</v>
      </c>
      <c r="Z12" s="626"/>
      <c r="AA12" s="632" t="e">
        <f>#REF!-#REF!</f>
        <v>#REF!</v>
      </c>
      <c r="AB12" s="632"/>
      <c r="AC12" s="875" t="s">
        <v>375</v>
      </c>
      <c r="AD12" s="201"/>
      <c r="AE12" s="201"/>
      <c r="AF12" s="201"/>
      <c r="AG12" s="311" t="e">
        <f>X12+Z12+#REF!</f>
        <v>#REF!</v>
      </c>
      <c r="AH12" s="486"/>
      <c r="AI12" s="498"/>
    </row>
    <row r="13" spans="1:38" s="204" customFormat="1" ht="98.25" hidden="1" customHeight="1" x14ac:dyDescent="0.2">
      <c r="A13" s="316"/>
      <c r="B13" s="317" t="s">
        <v>251</v>
      </c>
      <c r="C13" s="318" t="s">
        <v>250</v>
      </c>
      <c r="D13" s="422">
        <v>200000</v>
      </c>
      <c r="E13" s="422">
        <v>0</v>
      </c>
      <c r="F13" s="422">
        <f>D13+E13</f>
        <v>200000</v>
      </c>
      <c r="G13" s="423">
        <v>10</v>
      </c>
      <c r="H13" s="423">
        <v>9</v>
      </c>
      <c r="I13" s="423"/>
      <c r="J13" s="423"/>
      <c r="K13" s="423">
        <v>2</v>
      </c>
      <c r="L13" s="423"/>
      <c r="M13" s="424" t="s">
        <v>185</v>
      </c>
      <c r="N13" s="422">
        <v>0</v>
      </c>
      <c r="O13" s="425"/>
      <c r="P13" s="425"/>
      <c r="Q13" s="422">
        <v>200000</v>
      </c>
      <c r="R13" s="422">
        <v>0</v>
      </c>
      <c r="S13" s="422">
        <f>Q13+R13</f>
        <v>200000</v>
      </c>
      <c r="T13" s="425"/>
      <c r="U13" s="540"/>
      <c r="V13" s="540"/>
      <c r="W13" s="618">
        <v>0</v>
      </c>
      <c r="X13" s="616">
        <f t="shared" si="1"/>
        <v>0</v>
      </c>
      <c r="Y13" s="815" t="e">
        <f>F13-W13-#REF!</f>
        <v>#REF!</v>
      </c>
      <c r="Z13" s="626"/>
      <c r="AA13" s="632" t="e">
        <f>#REF!-#REF!</f>
        <v>#REF!</v>
      </c>
      <c r="AB13" s="632"/>
      <c r="AC13" s="875" t="s">
        <v>376</v>
      </c>
      <c r="AD13" s="201"/>
      <c r="AE13" s="201"/>
      <c r="AF13" s="201"/>
      <c r="AG13" s="311" t="e">
        <f>X13+Z13+#REF!</f>
        <v>#REF!</v>
      </c>
      <c r="AH13" s="486"/>
      <c r="AI13" s="498"/>
    </row>
    <row r="14" spans="1:38" s="204" customFormat="1" ht="35.25" hidden="1" customHeight="1" x14ac:dyDescent="0.2">
      <c r="A14" s="319">
        <v>3</v>
      </c>
      <c r="B14" s="320" t="s">
        <v>252</v>
      </c>
      <c r="C14" s="320" t="s">
        <v>253</v>
      </c>
      <c r="D14" s="426">
        <f>SUM(D15:D16)</f>
        <v>136900</v>
      </c>
      <c r="E14" s="426">
        <f>SUM(E15:E16)</f>
        <v>5589000</v>
      </c>
      <c r="F14" s="426">
        <f>SUM(F15:F16)</f>
        <v>5725900</v>
      </c>
      <c r="G14" s="427"/>
      <c r="H14" s="427"/>
      <c r="I14" s="427"/>
      <c r="J14" s="427"/>
      <c r="K14" s="427"/>
      <c r="L14" s="427"/>
      <c r="M14" s="428"/>
      <c r="N14" s="426">
        <f>SUM(N15:N16)</f>
        <v>0</v>
      </c>
      <c r="O14" s="429"/>
      <c r="P14" s="429"/>
      <c r="Q14" s="426">
        <f>SUM(Q15:Q16)</f>
        <v>136900</v>
      </c>
      <c r="R14" s="426">
        <f>SUM(R15:R16)</f>
        <v>5589000</v>
      </c>
      <c r="S14" s="426">
        <f>SUM(S15:S16)</f>
        <v>5725900</v>
      </c>
      <c r="T14" s="429"/>
      <c r="U14" s="430"/>
      <c r="V14" s="430"/>
      <c r="W14" s="619">
        <f>SUM(W15:W16)</f>
        <v>0</v>
      </c>
      <c r="X14" s="616">
        <f t="shared" si="1"/>
        <v>0</v>
      </c>
      <c r="Y14" s="815" t="e">
        <f>F14-W14-#REF!</f>
        <v>#REF!</v>
      </c>
      <c r="Z14" s="627"/>
      <c r="AA14" s="632" t="e">
        <f>#REF!-#REF!</f>
        <v>#REF!</v>
      </c>
      <c r="AB14" s="632"/>
      <c r="AC14" s="874"/>
      <c r="AD14" s="206"/>
      <c r="AE14" s="206"/>
      <c r="AF14" s="206"/>
      <c r="AG14" s="311" t="e">
        <f>X14+Z14+#REF!</f>
        <v>#REF!</v>
      </c>
      <c r="AH14" s="486"/>
      <c r="AI14" s="498"/>
    </row>
    <row r="15" spans="1:38" s="204" customFormat="1" ht="50.25" hidden="1" customHeight="1" x14ac:dyDescent="0.2">
      <c r="A15" s="316"/>
      <c r="B15" s="317" t="s">
        <v>316</v>
      </c>
      <c r="C15" s="318" t="s">
        <v>253</v>
      </c>
      <c r="D15" s="422">
        <v>136900</v>
      </c>
      <c r="E15" s="422">
        <v>0</v>
      </c>
      <c r="F15" s="422">
        <f>D15+E15</f>
        <v>136900</v>
      </c>
      <c r="G15" s="423">
        <v>10</v>
      </c>
      <c r="H15" s="423">
        <v>2</v>
      </c>
      <c r="I15" s="423"/>
      <c r="J15" s="423"/>
      <c r="K15" s="423">
        <v>2</v>
      </c>
      <c r="L15" s="423"/>
      <c r="M15" s="424" t="s">
        <v>185</v>
      </c>
      <c r="N15" s="422">
        <v>0</v>
      </c>
      <c r="O15" s="425"/>
      <c r="P15" s="425"/>
      <c r="Q15" s="422">
        <v>136900</v>
      </c>
      <c r="R15" s="422">
        <v>0</v>
      </c>
      <c r="S15" s="422">
        <f>Q15+R15</f>
        <v>136900</v>
      </c>
      <c r="T15" s="425"/>
      <c r="U15" s="540"/>
      <c r="V15" s="540"/>
      <c r="W15" s="618">
        <v>0</v>
      </c>
      <c r="X15" s="616">
        <f t="shared" si="1"/>
        <v>0</v>
      </c>
      <c r="Y15" s="815" t="e">
        <f>F15-W15-#REF!</f>
        <v>#REF!</v>
      </c>
      <c r="Z15" s="626"/>
      <c r="AA15" s="632" t="e">
        <f>#REF!-#REF!</f>
        <v>#REF!</v>
      </c>
      <c r="AB15" s="632"/>
      <c r="AC15" s="875" t="s">
        <v>325</v>
      </c>
      <c r="AD15" s="201"/>
      <c r="AE15" s="201"/>
      <c r="AF15" s="201"/>
      <c r="AG15" s="311" t="e">
        <f>X15+Z15+#REF!</f>
        <v>#REF!</v>
      </c>
      <c r="AH15" s="486"/>
      <c r="AI15" s="498"/>
    </row>
    <row r="16" spans="1:38" s="213" customFormat="1" ht="45.75" hidden="1" customHeight="1" x14ac:dyDescent="0.2">
      <c r="A16" s="316"/>
      <c r="B16" s="317" t="s">
        <v>352</v>
      </c>
      <c r="C16" s="318" t="s">
        <v>318</v>
      </c>
      <c r="D16" s="422">
        <v>0</v>
      </c>
      <c r="E16" s="422">
        <v>5589000</v>
      </c>
      <c r="F16" s="422">
        <f>D16+E16</f>
        <v>5589000</v>
      </c>
      <c r="G16" s="423"/>
      <c r="H16" s="423"/>
      <c r="I16" s="423"/>
      <c r="J16" s="423"/>
      <c r="K16" s="423"/>
      <c r="L16" s="423"/>
      <c r="M16" s="424" t="s">
        <v>185</v>
      </c>
      <c r="N16" s="422">
        <v>0</v>
      </c>
      <c r="O16" s="425"/>
      <c r="P16" s="425"/>
      <c r="Q16" s="422">
        <v>0</v>
      </c>
      <c r="R16" s="422">
        <v>5589000</v>
      </c>
      <c r="S16" s="422">
        <f>Q16+R16</f>
        <v>5589000</v>
      </c>
      <c r="T16" s="425"/>
      <c r="U16" s="540"/>
      <c r="V16" s="540"/>
      <c r="W16" s="618">
        <v>0</v>
      </c>
      <c r="X16" s="616">
        <f t="shared" si="1"/>
        <v>0</v>
      </c>
      <c r="Y16" s="815" t="e">
        <f>F16-W16-#REF!</f>
        <v>#REF!</v>
      </c>
      <c r="Z16" s="626"/>
      <c r="AA16" s="632" t="e">
        <f>#REF!-#REF!</f>
        <v>#REF!</v>
      </c>
      <c r="AB16" s="632"/>
      <c r="AC16" s="875" t="s">
        <v>386</v>
      </c>
      <c r="AD16" s="201"/>
      <c r="AE16" s="201"/>
      <c r="AF16" s="201"/>
      <c r="AG16" s="311" t="e">
        <f>X16+Z16+#REF!</f>
        <v>#REF!</v>
      </c>
      <c r="AH16" s="486"/>
      <c r="AI16" s="498"/>
    </row>
    <row r="17" spans="1:40" s="213" customFormat="1" ht="43.5" hidden="1" customHeight="1" x14ac:dyDescent="0.2">
      <c r="A17" s="319">
        <v>4</v>
      </c>
      <c r="B17" s="320" t="s">
        <v>254</v>
      </c>
      <c r="C17" s="320" t="s">
        <v>248</v>
      </c>
      <c r="D17" s="426">
        <f>SUM(D18:D21)</f>
        <v>868100</v>
      </c>
      <c r="E17" s="426">
        <f>SUM(E18:E21)</f>
        <v>0</v>
      </c>
      <c r="F17" s="426">
        <f>SUM(F18:F21)</f>
        <v>868100</v>
      </c>
      <c r="G17" s="427"/>
      <c r="H17" s="427"/>
      <c r="I17" s="427"/>
      <c r="J17" s="427"/>
      <c r="K17" s="427"/>
      <c r="L17" s="427"/>
      <c r="M17" s="428"/>
      <c r="N17" s="426">
        <f>SUM(N18:N21)</f>
        <v>110800</v>
      </c>
      <c r="O17" s="429"/>
      <c r="P17" s="429"/>
      <c r="Q17" s="426">
        <f>SUM(Q18:Q21)</f>
        <v>868100</v>
      </c>
      <c r="R17" s="426">
        <f>SUM(R18:R21)</f>
        <v>0</v>
      </c>
      <c r="S17" s="426">
        <f>SUM(S18:S21)</f>
        <v>868100</v>
      </c>
      <c r="T17" s="429"/>
      <c r="U17" s="430"/>
      <c r="V17" s="430"/>
      <c r="W17" s="619">
        <f>SUM(W18:W21)</f>
        <v>110800</v>
      </c>
      <c r="X17" s="616">
        <f t="shared" si="1"/>
        <v>12.763506508466765</v>
      </c>
      <c r="Y17" s="815" t="e">
        <f>F17-W17-#REF!</f>
        <v>#REF!</v>
      </c>
      <c r="Z17" s="627"/>
      <c r="AA17" s="632" t="e">
        <f>#REF!-#REF!</f>
        <v>#REF!</v>
      </c>
      <c r="AB17" s="632"/>
      <c r="AC17" s="874"/>
      <c r="AD17" s="206"/>
      <c r="AE17" s="206"/>
      <c r="AF17" s="210"/>
      <c r="AG17" s="311" t="e">
        <f>X17+Z17+#REF!</f>
        <v>#REF!</v>
      </c>
      <c r="AH17" s="486"/>
      <c r="AI17" s="498"/>
    </row>
    <row r="18" spans="1:40" s="204" customFormat="1" ht="81" hidden="1" customHeight="1" x14ac:dyDescent="0.2">
      <c r="A18" s="321"/>
      <c r="B18" s="317" t="s">
        <v>314</v>
      </c>
      <c r="C18" s="322" t="s">
        <v>248</v>
      </c>
      <c r="D18" s="422">
        <v>227100</v>
      </c>
      <c r="E18" s="422">
        <v>0</v>
      </c>
      <c r="F18" s="422">
        <f>D18+E18</f>
        <v>227100</v>
      </c>
      <c r="G18" s="423">
        <v>11</v>
      </c>
      <c r="H18" s="423">
        <v>3</v>
      </c>
      <c r="I18" s="423"/>
      <c r="J18" s="423"/>
      <c r="K18" s="423">
        <v>2</v>
      </c>
      <c r="L18" s="423"/>
      <c r="M18" s="424" t="s">
        <v>185</v>
      </c>
      <c r="N18" s="422">
        <v>21950</v>
      </c>
      <c r="O18" s="425"/>
      <c r="P18" s="425"/>
      <c r="Q18" s="422">
        <v>227100</v>
      </c>
      <c r="R18" s="422">
        <v>0</v>
      </c>
      <c r="S18" s="422">
        <f>Q18+R18</f>
        <v>227100</v>
      </c>
      <c r="T18" s="425"/>
      <c r="U18" s="540"/>
      <c r="V18" s="540"/>
      <c r="W18" s="618">
        <f>13200+7700+1050</f>
        <v>21950</v>
      </c>
      <c r="X18" s="616">
        <f t="shared" si="1"/>
        <v>9.665345662703654</v>
      </c>
      <c r="Y18" s="815" t="e">
        <f>F18-W18-#REF!</f>
        <v>#REF!</v>
      </c>
      <c r="Z18" s="626"/>
      <c r="AA18" s="632" t="e">
        <f>#REF!-#REF!</f>
        <v>#REF!</v>
      </c>
      <c r="AB18" s="632"/>
      <c r="AC18" s="875" t="s">
        <v>378</v>
      </c>
      <c r="AD18" s="211" t="s">
        <v>395</v>
      </c>
      <c r="AE18" s="201" t="s">
        <v>417</v>
      </c>
      <c r="AF18" s="201"/>
      <c r="AG18" s="311" t="e">
        <f>X18+Z18+#REF!</f>
        <v>#REF!</v>
      </c>
      <c r="AH18" s="486"/>
      <c r="AI18" s="498"/>
    </row>
    <row r="19" spans="1:40" s="204" customFormat="1" ht="49.5" hidden="1" customHeight="1" x14ac:dyDescent="0.2">
      <c r="A19" s="321"/>
      <c r="B19" s="317" t="s">
        <v>255</v>
      </c>
      <c r="C19" s="322" t="s">
        <v>248</v>
      </c>
      <c r="D19" s="422">
        <v>216700</v>
      </c>
      <c r="E19" s="422">
        <v>0</v>
      </c>
      <c r="F19" s="422">
        <f>D19+E19</f>
        <v>216700</v>
      </c>
      <c r="G19" s="423">
        <v>12</v>
      </c>
      <c r="H19" s="423">
        <v>1</v>
      </c>
      <c r="I19" s="423"/>
      <c r="J19" s="423"/>
      <c r="K19" s="423">
        <v>2</v>
      </c>
      <c r="L19" s="423"/>
      <c r="M19" s="424" t="s">
        <v>185</v>
      </c>
      <c r="N19" s="422">
        <v>62700</v>
      </c>
      <c r="O19" s="425"/>
      <c r="P19" s="425"/>
      <c r="Q19" s="422">
        <v>216700</v>
      </c>
      <c r="R19" s="422">
        <v>0</v>
      </c>
      <c r="S19" s="422">
        <f>Q19+R19</f>
        <v>216700</v>
      </c>
      <c r="T19" s="425"/>
      <c r="U19" s="540"/>
      <c r="V19" s="540"/>
      <c r="W19" s="618">
        <f>39600+23100</f>
        <v>62700</v>
      </c>
      <c r="X19" s="616">
        <f t="shared" si="1"/>
        <v>28.934010152284262</v>
      </c>
      <c r="Y19" s="815" t="e">
        <f>F19-W19-#REF!</f>
        <v>#REF!</v>
      </c>
      <c r="Z19" s="626"/>
      <c r="AA19" s="632" t="e">
        <f>#REF!-#REF!</f>
        <v>#REF!</v>
      </c>
      <c r="AB19" s="632"/>
      <c r="AC19" s="875" t="s">
        <v>377</v>
      </c>
      <c r="AD19" s="207"/>
      <c r="AE19" s="207" t="s">
        <v>400</v>
      </c>
      <c r="AF19" s="207"/>
      <c r="AG19" s="311" t="e">
        <f>X19+Z19+#REF!</f>
        <v>#REF!</v>
      </c>
      <c r="AH19" s="486"/>
      <c r="AI19" s="498"/>
    </row>
    <row r="20" spans="1:40" s="204" customFormat="1" ht="54" hidden="1" customHeight="1" x14ac:dyDescent="0.2">
      <c r="A20" s="321"/>
      <c r="B20" s="317" t="s">
        <v>313</v>
      </c>
      <c r="C20" s="322" t="s">
        <v>248</v>
      </c>
      <c r="D20" s="422">
        <v>210000</v>
      </c>
      <c r="E20" s="422">
        <v>0</v>
      </c>
      <c r="F20" s="422">
        <f>D20+E20</f>
        <v>210000</v>
      </c>
      <c r="G20" s="423">
        <v>12</v>
      </c>
      <c r="H20" s="423">
        <v>9</v>
      </c>
      <c r="I20" s="423"/>
      <c r="J20" s="423"/>
      <c r="K20" s="423">
        <v>2</v>
      </c>
      <c r="L20" s="423"/>
      <c r="M20" s="424" t="s">
        <v>185</v>
      </c>
      <c r="N20" s="422">
        <f>9300+500+600+1000</f>
        <v>11400</v>
      </c>
      <c r="O20" s="425"/>
      <c r="P20" s="425"/>
      <c r="Q20" s="422">
        <v>210000</v>
      </c>
      <c r="R20" s="422">
        <v>0</v>
      </c>
      <c r="S20" s="422">
        <f>Q20+R20</f>
        <v>210000</v>
      </c>
      <c r="T20" s="425"/>
      <c r="U20" s="540"/>
      <c r="V20" s="540"/>
      <c r="W20" s="618">
        <f>9300+500+600+1000</f>
        <v>11400</v>
      </c>
      <c r="X20" s="616">
        <f t="shared" si="1"/>
        <v>5.4285714285714288</v>
      </c>
      <c r="Y20" s="815" t="e">
        <f>F20-W20-#REF!</f>
        <v>#REF!</v>
      </c>
      <c r="Z20" s="626"/>
      <c r="AA20" s="632" t="e">
        <f>#REF!-#REF!</f>
        <v>#REF!</v>
      </c>
      <c r="AB20" s="632"/>
      <c r="AC20" s="875" t="s">
        <v>377</v>
      </c>
      <c r="AD20" s="207"/>
      <c r="AE20" s="207"/>
      <c r="AF20" s="212" t="s">
        <v>404</v>
      </c>
      <c r="AG20" s="311" t="e">
        <f>X20+Z20+#REF!</f>
        <v>#REF!</v>
      </c>
      <c r="AH20" s="486"/>
      <c r="AI20" s="498"/>
    </row>
    <row r="21" spans="1:40" s="204" customFormat="1" ht="54.75" hidden="1" customHeight="1" x14ac:dyDescent="0.2">
      <c r="A21" s="321"/>
      <c r="B21" s="317" t="s">
        <v>256</v>
      </c>
      <c r="C21" s="322" t="s">
        <v>248</v>
      </c>
      <c r="D21" s="422">
        <v>214300</v>
      </c>
      <c r="E21" s="422">
        <v>0</v>
      </c>
      <c r="F21" s="422">
        <f>D21+E21</f>
        <v>214300</v>
      </c>
      <c r="G21" s="423">
        <v>12</v>
      </c>
      <c r="H21" s="423">
        <v>12</v>
      </c>
      <c r="I21" s="423"/>
      <c r="J21" s="423"/>
      <c r="K21" s="423">
        <v>2</v>
      </c>
      <c r="L21" s="423"/>
      <c r="M21" s="424" t="s">
        <v>185</v>
      </c>
      <c r="N21" s="422">
        <v>14750</v>
      </c>
      <c r="O21" s="425"/>
      <c r="P21" s="425"/>
      <c r="Q21" s="422">
        <v>214300</v>
      </c>
      <c r="R21" s="422">
        <v>0</v>
      </c>
      <c r="S21" s="422">
        <f>Q21+R21</f>
        <v>214300</v>
      </c>
      <c r="T21" s="425"/>
      <c r="U21" s="540"/>
      <c r="V21" s="540"/>
      <c r="W21" s="618">
        <f>2400+7800+4550</f>
        <v>14750</v>
      </c>
      <c r="X21" s="616">
        <f t="shared" si="1"/>
        <v>6.8828744750349973</v>
      </c>
      <c r="Y21" s="815" t="e">
        <f>F21-W21-#REF!</f>
        <v>#REF!</v>
      </c>
      <c r="Z21" s="626"/>
      <c r="AA21" s="632" t="e">
        <f>#REF!-#REF!</f>
        <v>#REF!</v>
      </c>
      <c r="AB21" s="632"/>
      <c r="AC21" s="875" t="s">
        <v>377</v>
      </c>
      <c r="AD21" s="207"/>
      <c r="AE21" s="207"/>
      <c r="AF21" s="211" t="s">
        <v>418</v>
      </c>
      <c r="AG21" s="311" t="e">
        <f>X21+Z21+#REF!</f>
        <v>#REF!</v>
      </c>
      <c r="AH21" s="486"/>
      <c r="AI21" s="498"/>
    </row>
    <row r="22" spans="1:40" s="204" customFormat="1" ht="47.25" hidden="1" customHeight="1" x14ac:dyDescent="0.2">
      <c r="A22" s="323">
        <v>5</v>
      </c>
      <c r="B22" s="320" t="s">
        <v>257</v>
      </c>
      <c r="C22" s="320" t="s">
        <v>258</v>
      </c>
      <c r="D22" s="426">
        <f>SUM(D23:D26)</f>
        <v>1158600</v>
      </c>
      <c r="E22" s="426">
        <f>SUM(E23:E26)</f>
        <v>495000</v>
      </c>
      <c r="F22" s="426">
        <f>SUM(F23:F26)</f>
        <v>1653600</v>
      </c>
      <c r="G22" s="427"/>
      <c r="H22" s="427"/>
      <c r="I22" s="427"/>
      <c r="J22" s="427"/>
      <c r="K22" s="427"/>
      <c r="L22" s="427"/>
      <c r="M22" s="428"/>
      <c r="N22" s="426">
        <f>SUM(N23:N26)</f>
        <v>197400</v>
      </c>
      <c r="O22" s="429"/>
      <c r="P22" s="429"/>
      <c r="Q22" s="426">
        <f>SUM(Q23:Q26)</f>
        <v>1158600</v>
      </c>
      <c r="R22" s="426">
        <f>SUM(R23:R26)</f>
        <v>495000</v>
      </c>
      <c r="S22" s="426">
        <f>SUM(S23:S26)</f>
        <v>1653600</v>
      </c>
      <c r="T22" s="429"/>
      <c r="U22" s="430"/>
      <c r="V22" s="430"/>
      <c r="W22" s="619">
        <f>SUM(W23:W26)</f>
        <v>197400</v>
      </c>
      <c r="X22" s="616">
        <f t="shared" si="1"/>
        <v>11.937590711175616</v>
      </c>
      <c r="Y22" s="815" t="e">
        <f>F22-W22-#REF!</f>
        <v>#REF!</v>
      </c>
      <c r="Z22" s="627"/>
      <c r="AA22" s="632" t="e">
        <f>#REF!-#REF!</f>
        <v>#REF!</v>
      </c>
      <c r="AB22" s="632"/>
      <c r="AC22" s="874"/>
      <c r="AD22" s="324"/>
      <c r="AE22" s="324"/>
      <c r="AF22" s="324"/>
      <c r="AG22" s="311" t="e">
        <f>X22+Z22+#REF!</f>
        <v>#REF!</v>
      </c>
      <c r="AH22" s="486"/>
      <c r="AI22" s="498"/>
    </row>
    <row r="23" spans="1:40" s="204" customFormat="1" ht="53.25" hidden="1" customHeight="1" x14ac:dyDescent="0.2">
      <c r="A23" s="321"/>
      <c r="B23" s="318" t="s">
        <v>259</v>
      </c>
      <c r="C23" s="318" t="s">
        <v>261</v>
      </c>
      <c r="D23" s="422">
        <v>84200</v>
      </c>
      <c r="E23" s="422">
        <v>0</v>
      </c>
      <c r="F23" s="422">
        <f>D23+E23</f>
        <v>84200</v>
      </c>
      <c r="G23" s="423">
        <v>1</v>
      </c>
      <c r="H23" s="423">
        <v>3</v>
      </c>
      <c r="I23" s="423"/>
      <c r="J23" s="423"/>
      <c r="K23" s="423">
        <v>2</v>
      </c>
      <c r="L23" s="423"/>
      <c r="M23" s="424" t="s">
        <v>185</v>
      </c>
      <c r="N23" s="422">
        <v>0</v>
      </c>
      <c r="O23" s="425"/>
      <c r="P23" s="425"/>
      <c r="Q23" s="422">
        <v>84200</v>
      </c>
      <c r="R23" s="422">
        <v>0</v>
      </c>
      <c r="S23" s="422">
        <f>Q23+R23</f>
        <v>84200</v>
      </c>
      <c r="T23" s="425"/>
      <c r="U23" s="540"/>
      <c r="V23" s="540"/>
      <c r="W23" s="618">
        <v>0</v>
      </c>
      <c r="X23" s="616">
        <f t="shared" si="1"/>
        <v>0</v>
      </c>
      <c r="Y23" s="815" t="e">
        <f>F23-W23-#REF!</f>
        <v>#REF!</v>
      </c>
      <c r="Z23" s="626"/>
      <c r="AA23" s="632" t="e">
        <f>#REF!-#REF!</f>
        <v>#REF!</v>
      </c>
      <c r="AB23" s="632"/>
      <c r="AC23" s="875" t="s">
        <v>327</v>
      </c>
      <c r="AD23" s="201"/>
      <c r="AE23" s="201"/>
      <c r="AF23" s="201"/>
      <c r="AG23" s="311" t="e">
        <f>X23+Z23+#REF!</f>
        <v>#REF!</v>
      </c>
      <c r="AH23" s="486"/>
      <c r="AI23" s="498"/>
    </row>
    <row r="24" spans="1:40" s="204" customFormat="1" ht="53.25" hidden="1" customHeight="1" x14ac:dyDescent="0.2">
      <c r="A24" s="321"/>
      <c r="B24" s="318" t="s">
        <v>260</v>
      </c>
      <c r="C24" s="318" t="s">
        <v>262</v>
      </c>
      <c r="D24" s="422">
        <v>255500</v>
      </c>
      <c r="E24" s="422">
        <v>0</v>
      </c>
      <c r="F24" s="422">
        <f>D24+E24</f>
        <v>255500</v>
      </c>
      <c r="G24" s="423">
        <v>11</v>
      </c>
      <c r="H24" s="423">
        <v>1</v>
      </c>
      <c r="I24" s="423"/>
      <c r="J24" s="423"/>
      <c r="K24" s="423">
        <v>2</v>
      </c>
      <c r="L24" s="423"/>
      <c r="M24" s="424" t="s">
        <v>185</v>
      </c>
      <c r="N24" s="422">
        <v>197400</v>
      </c>
      <c r="O24" s="425"/>
      <c r="P24" s="425"/>
      <c r="Q24" s="422">
        <v>255500</v>
      </c>
      <c r="R24" s="422">
        <v>0</v>
      </c>
      <c r="S24" s="422">
        <f>Q24+R24</f>
        <v>255500</v>
      </c>
      <c r="T24" s="425"/>
      <c r="U24" s="540"/>
      <c r="V24" s="540"/>
      <c r="W24" s="618">
        <v>197400</v>
      </c>
      <c r="X24" s="616">
        <f t="shared" si="1"/>
        <v>77.260273972602747</v>
      </c>
      <c r="Y24" s="815" t="e">
        <f>F24-W24-#REF!</f>
        <v>#REF!</v>
      </c>
      <c r="Z24" s="626"/>
      <c r="AA24" s="632" t="e">
        <f>#REF!-#REF!</f>
        <v>#REF!</v>
      </c>
      <c r="AB24" s="632"/>
      <c r="AC24" s="875" t="s">
        <v>360</v>
      </c>
      <c r="AD24" s="207" t="s">
        <v>393</v>
      </c>
      <c r="AE24" s="207">
        <f>7200+4200+6000+55000+41800+22000+39600+21600</f>
        <v>197400</v>
      </c>
      <c r="AF24" s="207"/>
      <c r="AG24" s="311" t="e">
        <f>X24+Z24+#REF!</f>
        <v>#REF!</v>
      </c>
      <c r="AH24" s="486"/>
      <c r="AI24" s="498"/>
    </row>
    <row r="25" spans="1:40" s="204" customFormat="1" ht="56.25" hidden="1" customHeight="1" x14ac:dyDescent="0.2">
      <c r="A25" s="321"/>
      <c r="B25" s="318" t="s">
        <v>382</v>
      </c>
      <c r="C25" s="318" t="s">
        <v>253</v>
      </c>
      <c r="D25" s="422">
        <v>396000</v>
      </c>
      <c r="E25" s="422">
        <v>0</v>
      </c>
      <c r="F25" s="422">
        <f>D25+E25</f>
        <v>396000</v>
      </c>
      <c r="G25" s="423">
        <v>10</v>
      </c>
      <c r="H25" s="423">
        <v>2</v>
      </c>
      <c r="I25" s="423"/>
      <c r="J25" s="423"/>
      <c r="K25" s="423">
        <v>2</v>
      </c>
      <c r="L25" s="423"/>
      <c r="M25" s="424" t="s">
        <v>185</v>
      </c>
      <c r="N25" s="422">
        <v>0</v>
      </c>
      <c r="O25" s="425"/>
      <c r="P25" s="425"/>
      <c r="Q25" s="422">
        <v>396000</v>
      </c>
      <c r="R25" s="422">
        <v>0</v>
      </c>
      <c r="S25" s="422">
        <f>Q25+R25</f>
        <v>396000</v>
      </c>
      <c r="T25" s="425"/>
      <c r="U25" s="540"/>
      <c r="V25" s="540"/>
      <c r="W25" s="618">
        <v>0</v>
      </c>
      <c r="X25" s="616">
        <f t="shared" si="1"/>
        <v>0</v>
      </c>
      <c r="Y25" s="815" t="e">
        <f>F25-W25-#REF!</f>
        <v>#REF!</v>
      </c>
      <c r="Z25" s="626"/>
      <c r="AA25" s="632" t="e">
        <f>#REF!-#REF!</f>
        <v>#REF!</v>
      </c>
      <c r="AB25" s="632"/>
      <c r="AC25" s="875" t="s">
        <v>359</v>
      </c>
      <c r="AD25" s="207"/>
      <c r="AE25" s="207"/>
      <c r="AF25" s="207"/>
      <c r="AG25" s="311" t="e">
        <f>X25+Z25+#REF!</f>
        <v>#REF!</v>
      </c>
      <c r="AH25" s="486"/>
      <c r="AI25" s="498"/>
    </row>
    <row r="26" spans="1:40" s="204" customFormat="1" ht="168.75" hidden="1" customHeight="1" x14ac:dyDescent="0.2">
      <c r="A26" s="321"/>
      <c r="B26" s="318" t="s">
        <v>416</v>
      </c>
      <c r="C26" s="318" t="s">
        <v>317</v>
      </c>
      <c r="D26" s="422">
        <v>422900</v>
      </c>
      <c r="E26" s="422">
        <v>495000</v>
      </c>
      <c r="F26" s="422">
        <f>D26+E26</f>
        <v>917900</v>
      </c>
      <c r="G26" s="423">
        <v>6</v>
      </c>
      <c r="H26" s="423">
        <v>9</v>
      </c>
      <c r="I26" s="423">
        <v>12</v>
      </c>
      <c r="J26" s="423">
        <v>1</v>
      </c>
      <c r="K26" s="423">
        <v>2</v>
      </c>
      <c r="L26" s="423">
        <v>1</v>
      </c>
      <c r="M26" s="424" t="s">
        <v>185</v>
      </c>
      <c r="N26" s="422">
        <v>0</v>
      </c>
      <c r="O26" s="425"/>
      <c r="P26" s="425"/>
      <c r="Q26" s="422">
        <v>422900</v>
      </c>
      <c r="R26" s="422">
        <v>495000</v>
      </c>
      <c r="S26" s="422">
        <f>Q26+R26</f>
        <v>917900</v>
      </c>
      <c r="T26" s="425"/>
      <c r="U26" s="540"/>
      <c r="V26" s="540"/>
      <c r="W26" s="618">
        <v>0</v>
      </c>
      <c r="X26" s="616">
        <f t="shared" si="1"/>
        <v>0</v>
      </c>
      <c r="Y26" s="815" t="e">
        <f>F26-W26-#REF!</f>
        <v>#REF!</v>
      </c>
      <c r="Z26" s="626"/>
      <c r="AA26" s="632" t="e">
        <f>#REF!-#REF!</f>
        <v>#REF!</v>
      </c>
      <c r="AB26" s="632"/>
      <c r="AC26" s="875" t="s">
        <v>538</v>
      </c>
      <c r="AD26" s="201"/>
      <c r="AE26" s="201" t="s">
        <v>399</v>
      </c>
      <c r="AF26" s="201"/>
      <c r="AG26" s="311" t="e">
        <f>X26+Z26+#REF!</f>
        <v>#REF!</v>
      </c>
      <c r="AH26" s="486"/>
      <c r="AI26" s="498"/>
    </row>
    <row r="27" spans="1:40" s="213" customFormat="1" ht="62.25" hidden="1" customHeight="1" x14ac:dyDescent="0.2">
      <c r="A27" s="319">
        <v>6</v>
      </c>
      <c r="B27" s="320" t="s">
        <v>263</v>
      </c>
      <c r="C27" s="320" t="s">
        <v>248</v>
      </c>
      <c r="D27" s="426">
        <f>SUM(D28:D29)</f>
        <v>740000</v>
      </c>
      <c r="E27" s="426">
        <f>SUM(E28:E29)</f>
        <v>0</v>
      </c>
      <c r="F27" s="426">
        <f>SUM(F28:F29)</f>
        <v>740000</v>
      </c>
      <c r="G27" s="427"/>
      <c r="H27" s="427"/>
      <c r="I27" s="427"/>
      <c r="J27" s="427"/>
      <c r="K27" s="427"/>
      <c r="L27" s="427"/>
      <c r="M27" s="428"/>
      <c r="N27" s="426">
        <f>SUM(N28:N29)</f>
        <v>130200</v>
      </c>
      <c r="O27" s="429"/>
      <c r="P27" s="429"/>
      <c r="Q27" s="426">
        <f>SUM(Q28:Q29)</f>
        <v>740000</v>
      </c>
      <c r="R27" s="426">
        <f>SUM(R28:R29)</f>
        <v>0</v>
      </c>
      <c r="S27" s="426">
        <f>SUM(S28:S29)</f>
        <v>740000</v>
      </c>
      <c r="T27" s="429"/>
      <c r="U27" s="430"/>
      <c r="V27" s="430"/>
      <c r="W27" s="619">
        <f>SUM(W28:W29)</f>
        <v>130200</v>
      </c>
      <c r="X27" s="616">
        <f t="shared" si="1"/>
        <v>17.594594594594597</v>
      </c>
      <c r="Y27" s="815" t="e">
        <f>F27-W27-#REF!</f>
        <v>#REF!</v>
      </c>
      <c r="Z27" s="627"/>
      <c r="AA27" s="632" t="e">
        <f>#REF!-#REF!</f>
        <v>#REF!</v>
      </c>
      <c r="AB27" s="632"/>
      <c r="AC27" s="874"/>
      <c r="AD27" s="206"/>
      <c r="AE27" s="206"/>
      <c r="AF27" s="210">
        <f>W28-AF28</f>
        <v>78600</v>
      </c>
      <c r="AG27" s="311" t="e">
        <f>X27+Z27+#REF!</f>
        <v>#REF!</v>
      </c>
      <c r="AH27" s="486"/>
      <c r="AI27" s="498"/>
    </row>
    <row r="28" spans="1:40" s="213" customFormat="1" ht="93.75" hidden="1" customHeight="1" x14ac:dyDescent="0.2">
      <c r="A28" s="316"/>
      <c r="B28" s="318" t="s">
        <v>315</v>
      </c>
      <c r="C28" s="318" t="s">
        <v>248</v>
      </c>
      <c r="D28" s="422">
        <v>639600</v>
      </c>
      <c r="E28" s="422">
        <v>0</v>
      </c>
      <c r="F28" s="422">
        <f>D28+E28</f>
        <v>639600</v>
      </c>
      <c r="G28" s="423">
        <v>12</v>
      </c>
      <c r="H28" s="423">
        <v>1</v>
      </c>
      <c r="I28" s="423"/>
      <c r="J28" s="423"/>
      <c r="K28" s="423">
        <v>2</v>
      </c>
      <c r="L28" s="423"/>
      <c r="M28" s="424" t="s">
        <v>185</v>
      </c>
      <c r="N28" s="422">
        <v>78600</v>
      </c>
      <c r="O28" s="425"/>
      <c r="P28" s="425"/>
      <c r="Q28" s="422">
        <v>639600</v>
      </c>
      <c r="R28" s="422">
        <v>0</v>
      </c>
      <c r="S28" s="422">
        <f>Q28+R28</f>
        <v>639600</v>
      </c>
      <c r="T28" s="425"/>
      <c r="U28" s="540"/>
      <c r="V28" s="540"/>
      <c r="W28" s="618">
        <f>14400+3000+9000+21600+12600+16200+1800</f>
        <v>78600</v>
      </c>
      <c r="X28" s="616">
        <f t="shared" si="1"/>
        <v>12.288930581613508</v>
      </c>
      <c r="Y28" s="815" t="e">
        <f>F28-W28-#REF!</f>
        <v>#REF!</v>
      </c>
      <c r="Z28" s="626"/>
      <c r="AA28" s="632" t="e">
        <f>#REF!-#REF!</f>
        <v>#REF!</v>
      </c>
      <c r="AB28" s="632"/>
      <c r="AC28" s="875" t="s">
        <v>411</v>
      </c>
      <c r="AD28" s="201"/>
      <c r="AE28" s="214" t="s">
        <v>412</v>
      </c>
      <c r="AF28" s="201"/>
      <c r="AG28" s="311" t="e">
        <f>X28+Z28+#REF!</f>
        <v>#REF!</v>
      </c>
      <c r="AH28" s="486"/>
      <c r="AI28" s="498"/>
    </row>
    <row r="29" spans="1:40" s="213" customFormat="1" ht="51" hidden="1" customHeight="1" x14ac:dyDescent="0.2">
      <c r="A29" s="316"/>
      <c r="B29" s="318" t="s">
        <v>264</v>
      </c>
      <c r="C29" s="318" t="s">
        <v>248</v>
      </c>
      <c r="D29" s="422">
        <v>100400</v>
      </c>
      <c r="E29" s="422">
        <v>0</v>
      </c>
      <c r="F29" s="422">
        <f>D29+E29</f>
        <v>100400</v>
      </c>
      <c r="G29" s="423">
        <v>12</v>
      </c>
      <c r="H29" s="423">
        <v>1</v>
      </c>
      <c r="I29" s="423"/>
      <c r="J29" s="423"/>
      <c r="K29" s="423">
        <v>2</v>
      </c>
      <c r="L29" s="423"/>
      <c r="M29" s="424" t="s">
        <v>185</v>
      </c>
      <c r="N29" s="422">
        <v>51600</v>
      </c>
      <c r="O29" s="425"/>
      <c r="P29" s="425"/>
      <c r="Q29" s="422">
        <v>100400</v>
      </c>
      <c r="R29" s="422">
        <v>0</v>
      </c>
      <c r="S29" s="422">
        <f>Q29+R29</f>
        <v>100400</v>
      </c>
      <c r="T29" s="425"/>
      <c r="U29" s="540"/>
      <c r="V29" s="540"/>
      <c r="W29" s="618">
        <v>51600</v>
      </c>
      <c r="X29" s="616">
        <f t="shared" si="1"/>
        <v>51.394422310756973</v>
      </c>
      <c r="Y29" s="815" t="e">
        <f>F29-W29-#REF!</f>
        <v>#REF!</v>
      </c>
      <c r="Z29" s="626"/>
      <c r="AA29" s="632" t="e">
        <f>#REF!-#REF!</f>
        <v>#REF!</v>
      </c>
      <c r="AB29" s="632"/>
      <c r="AC29" s="875" t="s">
        <v>377</v>
      </c>
      <c r="AD29" s="207"/>
      <c r="AE29" s="207" t="s">
        <v>413</v>
      </c>
      <c r="AF29" s="207"/>
      <c r="AG29" s="311" t="e">
        <f>X29+Z29+#REF!</f>
        <v>#REF!</v>
      </c>
      <c r="AH29" s="486"/>
      <c r="AI29" s="498"/>
    </row>
    <row r="30" spans="1:40" s="213" customFormat="1" ht="202.5" hidden="1" x14ac:dyDescent="0.2">
      <c r="A30" s="319">
        <v>7</v>
      </c>
      <c r="B30" s="320" t="s">
        <v>414</v>
      </c>
      <c r="C30" s="320" t="s">
        <v>265</v>
      </c>
      <c r="D30" s="426">
        <v>0</v>
      </c>
      <c r="E30" s="426">
        <f>E31</f>
        <v>9994000</v>
      </c>
      <c r="F30" s="426">
        <f>F31</f>
        <v>9994000</v>
      </c>
      <c r="G30" s="427"/>
      <c r="H30" s="427"/>
      <c r="I30" s="427"/>
      <c r="J30" s="427"/>
      <c r="K30" s="427"/>
      <c r="L30" s="427"/>
      <c r="M30" s="428"/>
      <c r="N30" s="426">
        <v>0</v>
      </c>
      <c r="O30" s="429"/>
      <c r="P30" s="429"/>
      <c r="Q30" s="426">
        <v>0</v>
      </c>
      <c r="R30" s="426">
        <f>R31</f>
        <v>9994000</v>
      </c>
      <c r="S30" s="426">
        <f>S31</f>
        <v>9994000</v>
      </c>
      <c r="T30" s="429"/>
      <c r="U30" s="430"/>
      <c r="V30" s="430"/>
      <c r="W30" s="619">
        <f>SUM(W31:W32)</f>
        <v>52190068</v>
      </c>
      <c r="X30" s="616">
        <f t="shared" si="1"/>
        <v>522.21400840504305</v>
      </c>
      <c r="Y30" s="815" t="e">
        <f>F30-W30-#REF!</f>
        <v>#REF!</v>
      </c>
      <c r="Z30" s="627"/>
      <c r="AA30" s="632" t="e">
        <f>#REF!-#REF!</f>
        <v>#REF!</v>
      </c>
      <c r="AB30" s="632"/>
      <c r="AC30" s="874"/>
      <c r="AD30" s="206"/>
      <c r="AE30" s="206"/>
      <c r="AF30" s="206"/>
      <c r="AG30" s="311" t="e">
        <f>X30+Z30+#REF!</f>
        <v>#REF!</v>
      </c>
      <c r="AH30" s="486"/>
      <c r="AI30" s="498"/>
    </row>
    <row r="31" spans="1:40" s="213" customFormat="1" ht="12.75" hidden="1" customHeight="1" x14ac:dyDescent="0.2">
      <c r="A31" s="316"/>
      <c r="B31" s="318" t="s">
        <v>415</v>
      </c>
      <c r="C31" s="318" t="s">
        <v>265</v>
      </c>
      <c r="D31" s="422">
        <v>0</v>
      </c>
      <c r="E31" s="422">
        <v>9994000</v>
      </c>
      <c r="F31" s="422">
        <f>D31+E31</f>
        <v>9994000</v>
      </c>
      <c r="G31" s="423"/>
      <c r="H31" s="423"/>
      <c r="I31" s="423">
        <v>12</v>
      </c>
      <c r="J31" s="423">
        <v>3</v>
      </c>
      <c r="K31" s="423"/>
      <c r="L31" s="423">
        <v>8</v>
      </c>
      <c r="M31" s="424" t="s">
        <v>185</v>
      </c>
      <c r="N31" s="422">
        <v>0</v>
      </c>
      <c r="O31" s="425"/>
      <c r="P31" s="425"/>
      <c r="Q31" s="422">
        <v>0</v>
      </c>
      <c r="R31" s="422">
        <v>9994000</v>
      </c>
      <c r="S31" s="422">
        <f>Q31+R31</f>
        <v>9994000</v>
      </c>
      <c r="T31" s="425"/>
      <c r="U31" s="540"/>
      <c r="V31" s="540"/>
      <c r="W31" s="618">
        <v>0</v>
      </c>
      <c r="X31" s="616">
        <f t="shared" si="1"/>
        <v>0</v>
      </c>
      <c r="Y31" s="815" t="e">
        <f>F31-W31-#REF!</f>
        <v>#REF!</v>
      </c>
      <c r="Z31" s="626"/>
      <c r="AA31" s="632" t="e">
        <f>#REF!-#REF!</f>
        <v>#REF!</v>
      </c>
      <c r="AB31" s="632"/>
      <c r="AC31" s="875" t="s">
        <v>383</v>
      </c>
      <c r="AD31" s="201"/>
      <c r="AE31" s="201"/>
      <c r="AF31" s="201"/>
      <c r="AG31" s="311" t="e">
        <f>X31+Z31+#REF!</f>
        <v>#REF!</v>
      </c>
      <c r="AH31" s="486"/>
      <c r="AI31" s="498"/>
    </row>
    <row r="32" spans="1:40" s="328" customFormat="1" ht="75.599999999999994" customHeight="1" x14ac:dyDescent="0.2">
      <c r="A32" s="325"/>
      <c r="B32" s="529" t="s">
        <v>572</v>
      </c>
      <c r="C32" s="327"/>
      <c r="D32" s="431">
        <f>D33+D40+D43+D54+D56</f>
        <v>15543400</v>
      </c>
      <c r="E32" s="460">
        <f>E33+E40+E43+E54+E56</f>
        <v>67000000</v>
      </c>
      <c r="F32" s="460">
        <f>F33+F40+F43+F54+F56</f>
        <v>82543400</v>
      </c>
      <c r="G32" s="431"/>
      <c r="H32" s="431"/>
      <c r="I32" s="431"/>
      <c r="J32" s="431"/>
      <c r="K32" s="431"/>
      <c r="L32" s="431"/>
      <c r="M32" s="431"/>
      <c r="N32" s="431">
        <v>41402978</v>
      </c>
      <c r="O32" s="431">
        <f>N32/F32*100</f>
        <v>50.159041183183639</v>
      </c>
      <c r="P32" s="431">
        <f>39143078+2846922+24979000</f>
        <v>66969000</v>
      </c>
      <c r="Q32" s="431">
        <v>15309900</v>
      </c>
      <c r="R32" s="460">
        <v>66969000</v>
      </c>
      <c r="S32" s="460">
        <f>Q32+R32</f>
        <v>82278900</v>
      </c>
      <c r="T32" s="431">
        <f>2259900+12266180</f>
        <v>14526080</v>
      </c>
      <c r="U32" s="537">
        <f>W32+30078632</f>
        <v>82268700</v>
      </c>
      <c r="V32" s="538">
        <f>U32/S32*100</f>
        <v>99.987603140051704</v>
      </c>
      <c r="W32" s="918">
        <v>52190068</v>
      </c>
      <c r="X32" s="615">
        <f>W32/S32*100</f>
        <v>63.430682714523414</v>
      </c>
      <c r="Y32" s="815">
        <f>S32-W32-AA32</f>
        <v>30078632</v>
      </c>
      <c r="Z32" s="624">
        <f>Y32/F32*100</f>
        <v>36.439778346905996</v>
      </c>
      <c r="AA32" s="632">
        <v>10200</v>
      </c>
      <c r="AB32" s="632">
        <f>AA32/S32*100</f>
        <v>1.2396859948297801E-2</v>
      </c>
      <c r="AC32" s="876">
        <f>W32+Y32+AA32</f>
        <v>82278900</v>
      </c>
      <c r="AD32" s="215"/>
      <c r="AE32" s="215"/>
      <c r="AF32" s="215"/>
      <c r="AG32" s="311" t="e">
        <f>X32+Z32+#REF!</f>
        <v>#REF!</v>
      </c>
      <c r="AH32" s="487">
        <v>7049400</v>
      </c>
      <c r="AI32" s="499">
        <f>W32-AH32</f>
        <v>45140668</v>
      </c>
      <c r="AL32" s="591" t="e">
        <f>#REF!-209600</f>
        <v>#REF!</v>
      </c>
      <c r="AN32" s="592">
        <f>21000+9100+13000</f>
        <v>43100</v>
      </c>
    </row>
    <row r="33" spans="1:34" s="213" customFormat="1" ht="101.25" hidden="1" x14ac:dyDescent="0.2">
      <c r="A33" s="329">
        <v>8</v>
      </c>
      <c r="B33" s="322" t="s">
        <v>266</v>
      </c>
      <c r="C33" s="322"/>
      <c r="D33" s="432">
        <f>D34+D38+D39</f>
        <v>5523400</v>
      </c>
      <c r="E33" s="432">
        <f>E34+E38+E39</f>
        <v>0</v>
      </c>
      <c r="F33" s="461">
        <f>F34+F38+F39</f>
        <v>5523400</v>
      </c>
      <c r="G33" s="432"/>
      <c r="H33" s="432"/>
      <c r="I33" s="432"/>
      <c r="J33" s="432"/>
      <c r="K33" s="432"/>
      <c r="L33" s="432"/>
      <c r="M33" s="432"/>
      <c r="N33" s="432">
        <f>N34+N38+N39</f>
        <v>0</v>
      </c>
      <c r="O33" s="433"/>
      <c r="P33" s="433"/>
      <c r="Q33" s="432">
        <f>Q34+Q38+Q39</f>
        <v>5523400</v>
      </c>
      <c r="R33" s="432">
        <f>R34+R38+R39</f>
        <v>0</v>
      </c>
      <c r="S33" s="461">
        <f>S34+S38+S39</f>
        <v>5523400</v>
      </c>
      <c r="T33" s="433"/>
      <c r="U33" s="446"/>
      <c r="V33" s="430"/>
      <c r="W33" s="620">
        <f>W34+W38+W39</f>
        <v>0</v>
      </c>
      <c r="X33" s="615">
        <f t="shared" si="1"/>
        <v>0</v>
      </c>
      <c r="Y33" s="815" t="e">
        <f>F33-W33-#REF!</f>
        <v>#REF!</v>
      </c>
      <c r="Z33" s="627"/>
      <c r="AA33" s="632" t="e">
        <f>#REF!-#REF!</f>
        <v>#REF!</v>
      </c>
      <c r="AB33" s="632"/>
      <c r="AC33" s="877"/>
      <c r="AD33" s="216"/>
      <c r="AE33" s="216"/>
      <c r="AF33" s="216"/>
      <c r="AG33" s="311" t="e">
        <f>X33+Z33+#REF!</f>
        <v>#REF!</v>
      </c>
      <c r="AH33" s="486"/>
    </row>
    <row r="34" spans="1:34" s="213" customFormat="1" ht="48.75" hidden="1" customHeight="1" x14ac:dyDescent="0.2">
      <c r="A34" s="316"/>
      <c r="B34" s="318" t="s">
        <v>267</v>
      </c>
      <c r="C34" s="318" t="s">
        <v>273</v>
      </c>
      <c r="D34" s="434">
        <v>1073400</v>
      </c>
      <c r="E34" s="434">
        <v>0</v>
      </c>
      <c r="F34" s="462">
        <f>D34+E34</f>
        <v>1073400</v>
      </c>
      <c r="G34" s="435">
        <v>12</v>
      </c>
      <c r="H34" s="435">
        <v>3</v>
      </c>
      <c r="I34" s="435"/>
      <c r="J34" s="435"/>
      <c r="K34" s="435">
        <v>2</v>
      </c>
      <c r="L34" s="435"/>
      <c r="M34" s="436" t="s">
        <v>185</v>
      </c>
      <c r="N34" s="434">
        <v>0</v>
      </c>
      <c r="O34" s="437"/>
      <c r="P34" s="437"/>
      <c r="Q34" s="434">
        <v>1073400</v>
      </c>
      <c r="R34" s="434">
        <v>0</v>
      </c>
      <c r="S34" s="462">
        <f>Q34+R34</f>
        <v>1073400</v>
      </c>
      <c r="T34" s="437"/>
      <c r="U34" s="541"/>
      <c r="V34" s="540"/>
      <c r="W34" s="621">
        <v>0</v>
      </c>
      <c r="X34" s="615">
        <f t="shared" si="1"/>
        <v>0</v>
      </c>
      <c r="Y34" s="815" t="e">
        <f>F34-W34-#REF!</f>
        <v>#REF!</v>
      </c>
      <c r="Z34" s="626"/>
      <c r="AA34" s="632" t="e">
        <f>#REF!-#REF!</f>
        <v>#REF!</v>
      </c>
      <c r="AB34" s="632"/>
      <c r="AC34" s="875"/>
      <c r="AD34" s="201"/>
      <c r="AE34" s="201"/>
      <c r="AF34" s="201"/>
      <c r="AG34" s="311" t="e">
        <f>X34+Z34+#REF!</f>
        <v>#REF!</v>
      </c>
      <c r="AH34" s="486"/>
    </row>
    <row r="35" spans="1:34" s="213" customFormat="1" ht="72" hidden="1" customHeight="1" x14ac:dyDescent="0.2">
      <c r="A35" s="316"/>
      <c r="B35" s="318" t="s">
        <v>329</v>
      </c>
      <c r="C35" s="318" t="s">
        <v>273</v>
      </c>
      <c r="D35" s="434">
        <v>113400</v>
      </c>
      <c r="E35" s="434">
        <v>0</v>
      </c>
      <c r="F35" s="462">
        <v>113400</v>
      </c>
      <c r="G35" s="435">
        <v>12</v>
      </c>
      <c r="H35" s="435">
        <v>6</v>
      </c>
      <c r="I35" s="435"/>
      <c r="J35" s="435"/>
      <c r="K35" s="435">
        <v>2</v>
      </c>
      <c r="L35" s="435"/>
      <c r="M35" s="436" t="s">
        <v>185</v>
      </c>
      <c r="N35" s="434">
        <v>0</v>
      </c>
      <c r="O35" s="437"/>
      <c r="P35" s="437"/>
      <c r="Q35" s="434">
        <v>113400</v>
      </c>
      <c r="R35" s="434">
        <v>0</v>
      </c>
      <c r="S35" s="462">
        <v>113400</v>
      </c>
      <c r="T35" s="437"/>
      <c r="U35" s="541"/>
      <c r="V35" s="540"/>
      <c r="W35" s="621">
        <v>0</v>
      </c>
      <c r="X35" s="615">
        <f t="shared" si="1"/>
        <v>0</v>
      </c>
      <c r="Y35" s="815" t="e">
        <f>F35-W35-#REF!</f>
        <v>#REF!</v>
      </c>
      <c r="Z35" s="626"/>
      <c r="AA35" s="632" t="e">
        <f>#REF!-#REF!</f>
        <v>#REF!</v>
      </c>
      <c r="AB35" s="632"/>
      <c r="AC35" s="1323" t="s">
        <v>358</v>
      </c>
      <c r="AD35" s="217"/>
      <c r="AE35" s="217"/>
      <c r="AF35" s="217"/>
      <c r="AG35" s="311" t="e">
        <f>X35+Z35+#REF!</f>
        <v>#REF!</v>
      </c>
      <c r="AH35" s="486"/>
    </row>
    <row r="36" spans="1:34" s="213" customFormat="1" ht="42.6" hidden="1" customHeight="1" x14ac:dyDescent="0.2">
      <c r="A36" s="316"/>
      <c r="B36" s="318" t="s">
        <v>330</v>
      </c>
      <c r="C36" s="318" t="s">
        <v>273</v>
      </c>
      <c r="D36" s="434">
        <v>240000</v>
      </c>
      <c r="E36" s="434">
        <v>0</v>
      </c>
      <c r="F36" s="462">
        <v>240000</v>
      </c>
      <c r="G36" s="435">
        <v>12</v>
      </c>
      <c r="H36" s="435"/>
      <c r="I36" s="435"/>
      <c r="J36" s="435"/>
      <c r="K36" s="435">
        <v>2</v>
      </c>
      <c r="L36" s="435"/>
      <c r="M36" s="436" t="s">
        <v>185</v>
      </c>
      <c r="N36" s="434">
        <v>0</v>
      </c>
      <c r="O36" s="437"/>
      <c r="P36" s="437"/>
      <c r="Q36" s="434">
        <v>240000</v>
      </c>
      <c r="R36" s="434">
        <v>0</v>
      </c>
      <c r="S36" s="462">
        <v>240000</v>
      </c>
      <c r="T36" s="437"/>
      <c r="U36" s="541"/>
      <c r="V36" s="540"/>
      <c r="W36" s="621">
        <v>0</v>
      </c>
      <c r="X36" s="615">
        <f t="shared" si="1"/>
        <v>0</v>
      </c>
      <c r="Y36" s="815" t="e">
        <f>F36-W36-#REF!</f>
        <v>#REF!</v>
      </c>
      <c r="Z36" s="626"/>
      <c r="AA36" s="632" t="e">
        <f>#REF!-#REF!</f>
        <v>#REF!</v>
      </c>
      <c r="AB36" s="632"/>
      <c r="AC36" s="1323"/>
      <c r="AD36" s="217"/>
      <c r="AE36" s="217"/>
      <c r="AF36" s="217"/>
      <c r="AG36" s="311" t="e">
        <f>X36+Z36+#REF!</f>
        <v>#REF!</v>
      </c>
      <c r="AH36" s="486"/>
    </row>
    <row r="37" spans="1:34" s="213" customFormat="1" ht="49.5" hidden="1" customHeight="1" x14ac:dyDescent="0.2">
      <c r="A37" s="316"/>
      <c r="B37" s="318" t="s">
        <v>331</v>
      </c>
      <c r="C37" s="318" t="s">
        <v>273</v>
      </c>
      <c r="D37" s="434">
        <v>720000</v>
      </c>
      <c r="E37" s="434">
        <v>0</v>
      </c>
      <c r="F37" s="462">
        <v>720000</v>
      </c>
      <c r="G37" s="435">
        <v>12</v>
      </c>
      <c r="H37" s="435"/>
      <c r="I37" s="435"/>
      <c r="J37" s="435"/>
      <c r="K37" s="435">
        <v>2</v>
      </c>
      <c r="L37" s="435"/>
      <c r="M37" s="436" t="s">
        <v>185</v>
      </c>
      <c r="N37" s="434">
        <v>0</v>
      </c>
      <c r="O37" s="437"/>
      <c r="P37" s="437"/>
      <c r="Q37" s="434">
        <v>720000</v>
      </c>
      <c r="R37" s="434">
        <v>0</v>
      </c>
      <c r="S37" s="462">
        <v>720000</v>
      </c>
      <c r="T37" s="437"/>
      <c r="U37" s="541"/>
      <c r="V37" s="540"/>
      <c r="W37" s="621">
        <v>0</v>
      </c>
      <c r="X37" s="615">
        <f t="shared" si="1"/>
        <v>0</v>
      </c>
      <c r="Y37" s="815" t="e">
        <f>F37-W37-#REF!</f>
        <v>#REF!</v>
      </c>
      <c r="Z37" s="626"/>
      <c r="AA37" s="632" t="e">
        <f>#REF!-#REF!</f>
        <v>#REF!</v>
      </c>
      <c r="AB37" s="632"/>
      <c r="AC37" s="1323"/>
      <c r="AD37" s="217"/>
      <c r="AE37" s="217"/>
      <c r="AF37" s="217"/>
      <c r="AG37" s="311" t="e">
        <f>X37+Z37+#REF!</f>
        <v>#REF!</v>
      </c>
      <c r="AH37" s="486"/>
    </row>
    <row r="38" spans="1:34" s="213" customFormat="1" ht="52.5" hidden="1" customHeight="1" x14ac:dyDescent="0.2">
      <c r="A38" s="316"/>
      <c r="B38" s="318" t="s">
        <v>268</v>
      </c>
      <c r="C38" s="318" t="s">
        <v>338</v>
      </c>
      <c r="D38" s="434">
        <v>3650000</v>
      </c>
      <c r="E38" s="434">
        <v>0</v>
      </c>
      <c r="F38" s="462">
        <f>D38+E38</f>
        <v>3650000</v>
      </c>
      <c r="G38" s="435">
        <v>12</v>
      </c>
      <c r="H38" s="435">
        <v>6</v>
      </c>
      <c r="I38" s="435"/>
      <c r="J38" s="435"/>
      <c r="K38" s="435">
        <v>2</v>
      </c>
      <c r="L38" s="435"/>
      <c r="M38" s="436" t="s">
        <v>185</v>
      </c>
      <c r="N38" s="434">
        <v>0</v>
      </c>
      <c r="O38" s="437"/>
      <c r="P38" s="437"/>
      <c r="Q38" s="434">
        <v>3650000</v>
      </c>
      <c r="R38" s="434">
        <v>0</v>
      </c>
      <c r="S38" s="462">
        <f>Q38+R38</f>
        <v>3650000</v>
      </c>
      <c r="T38" s="437"/>
      <c r="U38" s="541"/>
      <c r="V38" s="540"/>
      <c r="W38" s="621">
        <v>0</v>
      </c>
      <c r="X38" s="615">
        <f t="shared" si="1"/>
        <v>0</v>
      </c>
      <c r="Y38" s="815" t="e">
        <f>F38-W38-#REF!</f>
        <v>#REF!</v>
      </c>
      <c r="Z38" s="626"/>
      <c r="AA38" s="632" t="e">
        <f>#REF!-#REF!</f>
        <v>#REF!</v>
      </c>
      <c r="AB38" s="632"/>
      <c r="AC38" s="875" t="s">
        <v>332</v>
      </c>
      <c r="AD38" s="201"/>
      <c r="AE38" s="201"/>
      <c r="AF38" s="201"/>
      <c r="AG38" s="311" t="e">
        <f>X38+Z38+#REF!</f>
        <v>#REF!</v>
      </c>
      <c r="AH38" s="486"/>
    </row>
    <row r="39" spans="1:34" s="213" customFormat="1" ht="53.25" hidden="1" customHeight="1" x14ac:dyDescent="0.2">
      <c r="A39" s="316"/>
      <c r="B39" s="318" t="s">
        <v>269</v>
      </c>
      <c r="C39" s="318" t="s">
        <v>338</v>
      </c>
      <c r="D39" s="434">
        <v>800000</v>
      </c>
      <c r="E39" s="434">
        <v>0</v>
      </c>
      <c r="F39" s="462">
        <f>D39+E39</f>
        <v>800000</v>
      </c>
      <c r="G39" s="435">
        <v>12</v>
      </c>
      <c r="H39" s="435">
        <v>9</v>
      </c>
      <c r="I39" s="435"/>
      <c r="J39" s="435"/>
      <c r="K39" s="435">
        <v>2</v>
      </c>
      <c r="L39" s="435"/>
      <c r="M39" s="436" t="s">
        <v>185</v>
      </c>
      <c r="N39" s="434">
        <v>0</v>
      </c>
      <c r="O39" s="437"/>
      <c r="P39" s="437"/>
      <c r="Q39" s="434">
        <v>800000</v>
      </c>
      <c r="R39" s="434">
        <v>0</v>
      </c>
      <c r="S39" s="462">
        <f>Q39+R39</f>
        <v>800000</v>
      </c>
      <c r="T39" s="437"/>
      <c r="U39" s="541"/>
      <c r="V39" s="540"/>
      <c r="W39" s="621">
        <v>0</v>
      </c>
      <c r="X39" s="615">
        <f t="shared" ref="X39:X70" si="2">W39/F39*100</f>
        <v>0</v>
      </c>
      <c r="Y39" s="815" t="e">
        <f>F39-W39-#REF!</f>
        <v>#REF!</v>
      </c>
      <c r="Z39" s="626"/>
      <c r="AA39" s="632" t="e">
        <f>#REF!-#REF!</f>
        <v>#REF!</v>
      </c>
      <c r="AB39" s="632"/>
      <c r="AC39" s="875" t="s">
        <v>361</v>
      </c>
      <c r="AD39" s="201"/>
      <c r="AE39" s="201"/>
      <c r="AF39" s="201"/>
      <c r="AG39" s="311" t="e">
        <f>X39+Z39+#REF!</f>
        <v>#REF!</v>
      </c>
      <c r="AH39" s="486"/>
    </row>
    <row r="40" spans="1:34" s="213" customFormat="1" ht="101.25" hidden="1" x14ac:dyDescent="0.2">
      <c r="A40" s="329">
        <v>9</v>
      </c>
      <c r="B40" s="322" t="s">
        <v>270</v>
      </c>
      <c r="C40" s="322" t="s">
        <v>338</v>
      </c>
      <c r="D40" s="432">
        <f>SUM(D41:D42)</f>
        <v>4984000</v>
      </c>
      <c r="E40" s="432">
        <f>SUM(E41:E42)</f>
        <v>0</v>
      </c>
      <c r="F40" s="461">
        <f>SUM(F41:F42)</f>
        <v>4984000</v>
      </c>
      <c r="G40" s="438"/>
      <c r="H40" s="438"/>
      <c r="I40" s="438"/>
      <c r="J40" s="438"/>
      <c r="K40" s="438"/>
      <c r="L40" s="438"/>
      <c r="M40" s="439"/>
      <c r="N40" s="432">
        <f>SUM(N41:N42)</f>
        <v>0</v>
      </c>
      <c r="O40" s="433"/>
      <c r="P40" s="433"/>
      <c r="Q40" s="432">
        <f>SUM(Q41:Q42)</f>
        <v>4984000</v>
      </c>
      <c r="R40" s="432">
        <f>SUM(R41:R42)</f>
        <v>0</v>
      </c>
      <c r="S40" s="461">
        <f>SUM(S41:S42)</f>
        <v>4984000</v>
      </c>
      <c r="T40" s="433"/>
      <c r="U40" s="446"/>
      <c r="V40" s="430"/>
      <c r="W40" s="620">
        <f>SUM(W41:W42)</f>
        <v>0</v>
      </c>
      <c r="X40" s="615">
        <f t="shared" si="2"/>
        <v>0</v>
      </c>
      <c r="Y40" s="815" t="e">
        <f>F40-W40-#REF!</f>
        <v>#REF!</v>
      </c>
      <c r="Z40" s="627"/>
      <c r="AA40" s="632" t="e">
        <f>#REF!-#REF!</f>
        <v>#REF!</v>
      </c>
      <c r="AB40" s="632"/>
      <c r="AC40" s="877"/>
      <c r="AD40" s="218"/>
      <c r="AE40" s="218"/>
      <c r="AF40" s="218"/>
      <c r="AG40" s="311" t="e">
        <f>X40+Z40+#REF!</f>
        <v>#REF!</v>
      </c>
      <c r="AH40" s="486"/>
    </row>
    <row r="41" spans="1:34" s="213" customFormat="1" ht="45" hidden="1" customHeight="1" x14ac:dyDescent="0.2">
      <c r="A41" s="316"/>
      <c r="B41" s="318" t="s">
        <v>271</v>
      </c>
      <c r="C41" s="318" t="s">
        <v>338</v>
      </c>
      <c r="D41" s="434">
        <v>4300000</v>
      </c>
      <c r="E41" s="434">
        <v>0</v>
      </c>
      <c r="F41" s="462">
        <f>D41+E41</f>
        <v>4300000</v>
      </c>
      <c r="G41" s="435">
        <v>12</v>
      </c>
      <c r="H41" s="435">
        <v>6</v>
      </c>
      <c r="I41" s="435"/>
      <c r="J41" s="435"/>
      <c r="K41" s="435">
        <v>2</v>
      </c>
      <c r="L41" s="435"/>
      <c r="M41" s="436" t="s">
        <v>185</v>
      </c>
      <c r="N41" s="434">
        <v>0</v>
      </c>
      <c r="O41" s="437"/>
      <c r="P41" s="437"/>
      <c r="Q41" s="434">
        <v>4300000</v>
      </c>
      <c r="R41" s="434">
        <v>0</v>
      </c>
      <c r="S41" s="462">
        <f>Q41+R41</f>
        <v>4300000</v>
      </c>
      <c r="T41" s="437"/>
      <c r="U41" s="541"/>
      <c r="V41" s="540"/>
      <c r="W41" s="621">
        <v>0</v>
      </c>
      <c r="X41" s="615">
        <f t="shared" si="2"/>
        <v>0</v>
      </c>
      <c r="Y41" s="815" t="e">
        <f>F41-W41-#REF!</f>
        <v>#REF!</v>
      </c>
      <c r="Z41" s="626"/>
      <c r="AA41" s="632" t="e">
        <f>#REF!-#REF!</f>
        <v>#REF!</v>
      </c>
      <c r="AB41" s="632"/>
      <c r="AC41" s="875" t="s">
        <v>332</v>
      </c>
      <c r="AD41" s="201"/>
      <c r="AE41" s="201"/>
      <c r="AF41" s="201"/>
      <c r="AG41" s="311" t="e">
        <f>X41+Z41+#REF!</f>
        <v>#REF!</v>
      </c>
      <c r="AH41" s="486"/>
    </row>
    <row r="42" spans="1:34" s="213" customFormat="1" ht="101.25" hidden="1" x14ac:dyDescent="0.2">
      <c r="A42" s="316"/>
      <c r="B42" s="318" t="s">
        <v>272</v>
      </c>
      <c r="C42" s="318" t="s">
        <v>338</v>
      </c>
      <c r="D42" s="434">
        <v>684000</v>
      </c>
      <c r="E42" s="434">
        <v>0</v>
      </c>
      <c r="F42" s="462">
        <f>D42+E42</f>
        <v>684000</v>
      </c>
      <c r="G42" s="435">
        <v>12</v>
      </c>
      <c r="H42" s="435">
        <v>9</v>
      </c>
      <c r="I42" s="435"/>
      <c r="J42" s="435"/>
      <c r="K42" s="435">
        <v>2</v>
      </c>
      <c r="L42" s="435"/>
      <c r="M42" s="436" t="s">
        <v>185</v>
      </c>
      <c r="N42" s="434">
        <v>0</v>
      </c>
      <c r="O42" s="437"/>
      <c r="P42" s="437"/>
      <c r="Q42" s="434">
        <v>684000</v>
      </c>
      <c r="R42" s="434">
        <v>0</v>
      </c>
      <c r="S42" s="462">
        <f>Q42+R42</f>
        <v>684000</v>
      </c>
      <c r="T42" s="437"/>
      <c r="U42" s="541"/>
      <c r="V42" s="540"/>
      <c r="W42" s="621">
        <v>0</v>
      </c>
      <c r="X42" s="615">
        <f t="shared" si="2"/>
        <v>0</v>
      </c>
      <c r="Y42" s="815" t="e">
        <f>F42-W42-#REF!</f>
        <v>#REF!</v>
      </c>
      <c r="Z42" s="626"/>
      <c r="AA42" s="632" t="e">
        <f>#REF!-#REF!</f>
        <v>#REF!</v>
      </c>
      <c r="AB42" s="632"/>
      <c r="AC42" s="875" t="s">
        <v>332</v>
      </c>
      <c r="AD42" s="201"/>
      <c r="AE42" s="201"/>
      <c r="AF42" s="201"/>
      <c r="AG42" s="311" t="e">
        <f>X42+Z42+#REF!</f>
        <v>#REF!</v>
      </c>
      <c r="AH42" s="486"/>
    </row>
    <row r="43" spans="1:34" s="213" customFormat="1" ht="168.75" hidden="1" x14ac:dyDescent="0.2">
      <c r="A43" s="329">
        <v>10</v>
      </c>
      <c r="B43" s="322" t="s">
        <v>274</v>
      </c>
      <c r="C43" s="322" t="s">
        <v>277</v>
      </c>
      <c r="D43" s="432">
        <f>D44+D49</f>
        <v>5036000</v>
      </c>
      <c r="E43" s="432">
        <f>E44+E49</f>
        <v>0</v>
      </c>
      <c r="F43" s="461">
        <f>F44+F49</f>
        <v>5036000</v>
      </c>
      <c r="G43" s="438"/>
      <c r="H43" s="438"/>
      <c r="I43" s="438"/>
      <c r="J43" s="438"/>
      <c r="K43" s="438"/>
      <c r="L43" s="438"/>
      <c r="M43" s="439"/>
      <c r="N43" s="432" t="e">
        <f>N44+N49</f>
        <v>#REF!</v>
      </c>
      <c r="O43" s="433"/>
      <c r="P43" s="433"/>
      <c r="Q43" s="432">
        <f>Q44+Q49</f>
        <v>5036000</v>
      </c>
      <c r="R43" s="432">
        <f>R44+R49</f>
        <v>0</v>
      </c>
      <c r="S43" s="461">
        <f>S44+S49</f>
        <v>5036000</v>
      </c>
      <c r="T43" s="433"/>
      <c r="U43" s="446"/>
      <c r="V43" s="430"/>
      <c r="W43" s="620">
        <f>W44+W49</f>
        <v>0</v>
      </c>
      <c r="X43" s="615">
        <f t="shared" si="2"/>
        <v>0</v>
      </c>
      <c r="Y43" s="815" t="e">
        <f>F43-W43-#REF!</f>
        <v>#REF!</v>
      </c>
      <c r="Z43" s="627"/>
      <c r="AA43" s="632" t="e">
        <f>#REF!-#REF!</f>
        <v>#REF!</v>
      </c>
      <c r="AB43" s="632"/>
      <c r="AC43" s="877"/>
      <c r="AD43" s="218"/>
      <c r="AE43" s="218"/>
      <c r="AF43" s="218"/>
      <c r="AG43" s="311" t="e">
        <f>X43+Z43+#REF!</f>
        <v>#REF!</v>
      </c>
      <c r="AH43" s="486"/>
    </row>
    <row r="44" spans="1:34" s="213" customFormat="1" ht="44.25" hidden="1" customHeight="1" x14ac:dyDescent="0.2">
      <c r="A44" s="316"/>
      <c r="B44" s="318" t="s">
        <v>275</v>
      </c>
      <c r="C44" s="318" t="s">
        <v>277</v>
      </c>
      <c r="D44" s="434">
        <v>3886000</v>
      </c>
      <c r="E44" s="434">
        <v>0</v>
      </c>
      <c r="F44" s="462">
        <f t="shared" ref="F44:F53" si="3">D44+E44</f>
        <v>3886000</v>
      </c>
      <c r="G44" s="435"/>
      <c r="H44" s="435"/>
      <c r="I44" s="435"/>
      <c r="J44" s="435"/>
      <c r="K44" s="435"/>
      <c r="L44" s="435"/>
      <c r="M44" s="436"/>
      <c r="N44" s="434" t="e">
        <f>N45+N46+N47+N48</f>
        <v>#REF!</v>
      </c>
      <c r="O44" s="437"/>
      <c r="P44" s="437"/>
      <c r="Q44" s="434">
        <v>3886000</v>
      </c>
      <c r="R44" s="434">
        <v>0</v>
      </c>
      <c r="S44" s="462">
        <f t="shared" ref="S44:S53" si="4">Q44+R44</f>
        <v>3886000</v>
      </c>
      <c r="T44" s="437"/>
      <c r="U44" s="541"/>
      <c r="V44" s="540"/>
      <c r="W44" s="621">
        <f>W45+W46+W47+W48</f>
        <v>0</v>
      </c>
      <c r="X44" s="615">
        <f t="shared" si="2"/>
        <v>0</v>
      </c>
      <c r="Y44" s="815" t="e">
        <f>F44-W44-#REF!</f>
        <v>#REF!</v>
      </c>
      <c r="Z44" s="626"/>
      <c r="AA44" s="632" t="e">
        <f>#REF!-#REF!</f>
        <v>#REF!</v>
      </c>
      <c r="AB44" s="632"/>
      <c r="AC44" s="875"/>
      <c r="AD44" s="201"/>
      <c r="AE44" s="201"/>
      <c r="AF44" s="201"/>
      <c r="AG44" s="311" t="e">
        <f>X44+Z44+#REF!</f>
        <v>#REF!</v>
      </c>
      <c r="AH44" s="486"/>
    </row>
    <row r="45" spans="1:34" s="213" customFormat="1" ht="46.5" hidden="1" customHeight="1" x14ac:dyDescent="0.2">
      <c r="A45" s="316"/>
      <c r="B45" s="318" t="s">
        <v>305</v>
      </c>
      <c r="C45" s="318" t="s">
        <v>277</v>
      </c>
      <c r="D45" s="434">
        <v>486000</v>
      </c>
      <c r="E45" s="434">
        <v>0</v>
      </c>
      <c r="F45" s="462">
        <f t="shared" si="3"/>
        <v>486000</v>
      </c>
      <c r="G45" s="435">
        <v>5</v>
      </c>
      <c r="H45" s="435">
        <v>6</v>
      </c>
      <c r="I45" s="435"/>
      <c r="J45" s="435"/>
      <c r="K45" s="435">
        <v>2</v>
      </c>
      <c r="L45" s="435"/>
      <c r="M45" s="436" t="s">
        <v>185</v>
      </c>
      <c r="N45" s="434">
        <v>0</v>
      </c>
      <c r="O45" s="437"/>
      <c r="P45" s="437"/>
      <c r="Q45" s="434">
        <v>486000</v>
      </c>
      <c r="R45" s="434">
        <v>0</v>
      </c>
      <c r="S45" s="462">
        <f t="shared" si="4"/>
        <v>486000</v>
      </c>
      <c r="T45" s="437"/>
      <c r="U45" s="541"/>
      <c r="V45" s="540"/>
      <c r="W45" s="621">
        <v>0</v>
      </c>
      <c r="X45" s="615">
        <f t="shared" si="2"/>
        <v>0</v>
      </c>
      <c r="Y45" s="815" t="e">
        <f>F45-W45-#REF!</f>
        <v>#REF!</v>
      </c>
      <c r="Z45" s="626"/>
      <c r="AA45" s="632" t="e">
        <f>#REF!-#REF!</f>
        <v>#REF!</v>
      </c>
      <c r="AB45" s="632"/>
      <c r="AC45" s="875" t="s">
        <v>324</v>
      </c>
      <c r="AD45" s="201"/>
      <c r="AE45" s="201"/>
      <c r="AF45" s="201"/>
      <c r="AG45" s="311" t="e">
        <f>X45+Z45+#REF!</f>
        <v>#REF!</v>
      </c>
      <c r="AH45" s="486"/>
    </row>
    <row r="46" spans="1:34" s="213" customFormat="1" ht="55.5" hidden="1" customHeight="1" x14ac:dyDescent="0.2">
      <c r="A46" s="316"/>
      <c r="B46" s="318" t="s">
        <v>306</v>
      </c>
      <c r="C46" s="318" t="s">
        <v>277</v>
      </c>
      <c r="D46" s="434">
        <v>400000</v>
      </c>
      <c r="E46" s="434">
        <v>0</v>
      </c>
      <c r="F46" s="462">
        <f t="shared" si="3"/>
        <v>400000</v>
      </c>
      <c r="G46" s="435">
        <v>5</v>
      </c>
      <c r="H46" s="435">
        <v>8</v>
      </c>
      <c r="I46" s="435"/>
      <c r="J46" s="435"/>
      <c r="K46" s="435">
        <v>2</v>
      </c>
      <c r="L46" s="435"/>
      <c r="M46" s="436" t="s">
        <v>185</v>
      </c>
      <c r="N46" s="434">
        <v>0</v>
      </c>
      <c r="O46" s="437"/>
      <c r="P46" s="437"/>
      <c r="Q46" s="434">
        <v>400000</v>
      </c>
      <c r="R46" s="434">
        <v>0</v>
      </c>
      <c r="S46" s="462">
        <f t="shared" si="4"/>
        <v>400000</v>
      </c>
      <c r="T46" s="437"/>
      <c r="U46" s="541"/>
      <c r="V46" s="540"/>
      <c r="W46" s="621">
        <v>0</v>
      </c>
      <c r="X46" s="615">
        <f t="shared" si="2"/>
        <v>0</v>
      </c>
      <c r="Y46" s="815" t="e">
        <f>F46-W46-#REF!</f>
        <v>#REF!</v>
      </c>
      <c r="Z46" s="626"/>
      <c r="AA46" s="632" t="e">
        <f>#REF!-#REF!</f>
        <v>#REF!</v>
      </c>
      <c r="AB46" s="632"/>
      <c r="AC46" s="875" t="s">
        <v>326</v>
      </c>
      <c r="AD46" s="201"/>
      <c r="AE46" s="201"/>
      <c r="AF46" s="201"/>
      <c r="AG46" s="311" t="e">
        <f>X46+Z46+#REF!</f>
        <v>#REF!</v>
      </c>
      <c r="AH46" s="486"/>
    </row>
    <row r="47" spans="1:34" s="213" customFormat="1" ht="56.25" hidden="1" customHeight="1" x14ac:dyDescent="0.2">
      <c r="A47" s="316"/>
      <c r="B47" s="318" t="s">
        <v>307</v>
      </c>
      <c r="C47" s="318" t="s">
        <v>277</v>
      </c>
      <c r="D47" s="434">
        <v>2500000</v>
      </c>
      <c r="E47" s="434">
        <v>0</v>
      </c>
      <c r="F47" s="462">
        <f t="shared" si="3"/>
        <v>2500000</v>
      </c>
      <c r="G47" s="435">
        <v>11</v>
      </c>
      <c r="H47" s="435">
        <v>12</v>
      </c>
      <c r="I47" s="435"/>
      <c r="J47" s="435"/>
      <c r="K47" s="435">
        <v>2</v>
      </c>
      <c r="L47" s="435"/>
      <c r="M47" s="436" t="s">
        <v>185</v>
      </c>
      <c r="N47" s="434" t="e">
        <f>F47-#REF!</f>
        <v>#REF!</v>
      </c>
      <c r="O47" s="437"/>
      <c r="P47" s="437"/>
      <c r="Q47" s="434">
        <v>2500000</v>
      </c>
      <c r="R47" s="434">
        <v>0</v>
      </c>
      <c r="S47" s="462">
        <f t="shared" si="4"/>
        <v>2500000</v>
      </c>
      <c r="T47" s="437"/>
      <c r="U47" s="541"/>
      <c r="V47" s="540"/>
      <c r="W47" s="621">
        <v>0</v>
      </c>
      <c r="X47" s="615">
        <f t="shared" si="2"/>
        <v>0</v>
      </c>
      <c r="Y47" s="815" t="e">
        <f>F47-W47-#REF!</f>
        <v>#REF!</v>
      </c>
      <c r="Z47" s="626"/>
      <c r="AA47" s="632" t="e">
        <f>#REF!-#REF!</f>
        <v>#REF!</v>
      </c>
      <c r="AB47" s="632"/>
      <c r="AC47" s="875" t="s">
        <v>384</v>
      </c>
      <c r="AD47" s="201"/>
      <c r="AE47" s="201"/>
      <c r="AF47" s="201"/>
      <c r="AG47" s="311" t="e">
        <f>X47+Z47+#REF!</f>
        <v>#REF!</v>
      </c>
      <c r="AH47" s="486"/>
    </row>
    <row r="48" spans="1:34" s="213" customFormat="1" ht="54.75" hidden="1" customHeight="1" x14ac:dyDescent="0.2">
      <c r="A48" s="316"/>
      <c r="B48" s="318" t="s">
        <v>308</v>
      </c>
      <c r="C48" s="318" t="s">
        <v>277</v>
      </c>
      <c r="D48" s="434">
        <v>500000</v>
      </c>
      <c r="E48" s="434">
        <v>0</v>
      </c>
      <c r="F48" s="462">
        <f t="shared" si="3"/>
        <v>500000</v>
      </c>
      <c r="G48" s="435">
        <v>2</v>
      </c>
      <c r="H48" s="435">
        <v>3</v>
      </c>
      <c r="I48" s="435"/>
      <c r="J48" s="435"/>
      <c r="K48" s="435">
        <v>2</v>
      </c>
      <c r="L48" s="435"/>
      <c r="M48" s="436" t="s">
        <v>185</v>
      </c>
      <c r="N48" s="434">
        <v>0</v>
      </c>
      <c r="O48" s="437"/>
      <c r="P48" s="437"/>
      <c r="Q48" s="434">
        <v>500000</v>
      </c>
      <c r="R48" s="434">
        <v>0</v>
      </c>
      <c r="S48" s="462">
        <f t="shared" si="4"/>
        <v>500000</v>
      </c>
      <c r="T48" s="437"/>
      <c r="U48" s="541"/>
      <c r="V48" s="540"/>
      <c r="W48" s="621">
        <v>0</v>
      </c>
      <c r="X48" s="615">
        <f t="shared" si="2"/>
        <v>0</v>
      </c>
      <c r="Y48" s="815" t="e">
        <f>F48-W48-#REF!</f>
        <v>#REF!</v>
      </c>
      <c r="Z48" s="626"/>
      <c r="AA48" s="632" t="e">
        <f>#REF!-#REF!</f>
        <v>#REF!</v>
      </c>
      <c r="AB48" s="632"/>
      <c r="AC48" s="875" t="s">
        <v>385</v>
      </c>
      <c r="AD48" s="201"/>
      <c r="AE48" s="201"/>
      <c r="AF48" s="201"/>
      <c r="AG48" s="311" t="e">
        <f>X48+Z48+#REF!</f>
        <v>#REF!</v>
      </c>
      <c r="AH48" s="486"/>
    </row>
    <row r="49" spans="1:40" s="213" customFormat="1" ht="52.5" hidden="1" customHeight="1" x14ac:dyDescent="0.2">
      <c r="A49" s="316"/>
      <c r="B49" s="318" t="s">
        <v>276</v>
      </c>
      <c r="C49" s="318" t="s">
        <v>277</v>
      </c>
      <c r="D49" s="434">
        <v>1150000</v>
      </c>
      <c r="E49" s="434">
        <v>0</v>
      </c>
      <c r="F49" s="462">
        <f t="shared" si="3"/>
        <v>1150000</v>
      </c>
      <c r="G49" s="435"/>
      <c r="H49" s="435"/>
      <c r="I49" s="435"/>
      <c r="J49" s="435"/>
      <c r="K49" s="435"/>
      <c r="L49" s="435"/>
      <c r="M49" s="436"/>
      <c r="N49" s="434">
        <f>N50+N51+N52+N53</f>
        <v>0</v>
      </c>
      <c r="O49" s="437"/>
      <c r="P49" s="437"/>
      <c r="Q49" s="434">
        <v>1150000</v>
      </c>
      <c r="R49" s="434">
        <v>0</v>
      </c>
      <c r="S49" s="462">
        <f t="shared" si="4"/>
        <v>1150000</v>
      </c>
      <c r="T49" s="437"/>
      <c r="U49" s="541"/>
      <c r="V49" s="540"/>
      <c r="W49" s="621">
        <f>W50+W51+W52+W53</f>
        <v>0</v>
      </c>
      <c r="X49" s="615">
        <f t="shared" si="2"/>
        <v>0</v>
      </c>
      <c r="Y49" s="815" t="e">
        <f>F49-W49-#REF!</f>
        <v>#REF!</v>
      </c>
      <c r="Z49" s="626"/>
      <c r="AA49" s="632" t="e">
        <f>#REF!-#REF!</f>
        <v>#REF!</v>
      </c>
      <c r="AB49" s="632"/>
      <c r="AC49" s="875"/>
      <c r="AD49" s="201"/>
      <c r="AE49" s="201"/>
      <c r="AF49" s="201"/>
      <c r="AG49" s="311" t="e">
        <f>X49+Z49+#REF!</f>
        <v>#REF!</v>
      </c>
      <c r="AH49" s="486"/>
    </row>
    <row r="50" spans="1:40" s="213" customFormat="1" ht="39.6" hidden="1" customHeight="1" x14ac:dyDescent="0.2">
      <c r="A50" s="316"/>
      <c r="B50" s="318" t="s">
        <v>309</v>
      </c>
      <c r="C50" s="318" t="s">
        <v>277</v>
      </c>
      <c r="D50" s="434">
        <v>220000</v>
      </c>
      <c r="E50" s="434">
        <v>0</v>
      </c>
      <c r="F50" s="462">
        <f t="shared" si="3"/>
        <v>220000</v>
      </c>
      <c r="G50" s="435">
        <v>10</v>
      </c>
      <c r="H50" s="435">
        <v>12</v>
      </c>
      <c r="I50" s="435"/>
      <c r="J50" s="435"/>
      <c r="K50" s="435">
        <v>2</v>
      </c>
      <c r="L50" s="435"/>
      <c r="M50" s="436" t="s">
        <v>185</v>
      </c>
      <c r="N50" s="434">
        <v>0</v>
      </c>
      <c r="O50" s="437"/>
      <c r="P50" s="437"/>
      <c r="Q50" s="434">
        <v>220000</v>
      </c>
      <c r="R50" s="434">
        <v>0</v>
      </c>
      <c r="S50" s="462">
        <f t="shared" si="4"/>
        <v>220000</v>
      </c>
      <c r="T50" s="437"/>
      <c r="U50" s="541"/>
      <c r="V50" s="540"/>
      <c r="W50" s="621">
        <v>0</v>
      </c>
      <c r="X50" s="615">
        <f t="shared" si="2"/>
        <v>0</v>
      </c>
      <c r="Y50" s="815" t="e">
        <f>F50-W50-#REF!</f>
        <v>#REF!</v>
      </c>
      <c r="Z50" s="626"/>
      <c r="AA50" s="632" t="e">
        <f>#REF!-#REF!</f>
        <v>#REF!</v>
      </c>
      <c r="AB50" s="632"/>
      <c r="AC50" s="875" t="s">
        <v>312</v>
      </c>
      <c r="AD50" s="201"/>
      <c r="AE50" s="201"/>
      <c r="AF50" s="201"/>
      <c r="AG50" s="311" t="e">
        <f>X50+Z50+#REF!</f>
        <v>#REF!</v>
      </c>
      <c r="AH50" s="486"/>
    </row>
    <row r="51" spans="1:40" s="213" customFormat="1" ht="45" hidden="1" customHeight="1" x14ac:dyDescent="0.2">
      <c r="A51" s="316"/>
      <c r="B51" s="318" t="s">
        <v>323</v>
      </c>
      <c r="C51" s="318" t="s">
        <v>277</v>
      </c>
      <c r="D51" s="434">
        <v>440000</v>
      </c>
      <c r="E51" s="434">
        <v>0</v>
      </c>
      <c r="F51" s="462">
        <f t="shared" si="3"/>
        <v>440000</v>
      </c>
      <c r="G51" s="435">
        <v>1</v>
      </c>
      <c r="H51" s="435">
        <v>3</v>
      </c>
      <c r="I51" s="435"/>
      <c r="J51" s="435"/>
      <c r="K51" s="435">
        <v>2</v>
      </c>
      <c r="L51" s="435"/>
      <c r="M51" s="436" t="s">
        <v>185</v>
      </c>
      <c r="N51" s="434">
        <v>0</v>
      </c>
      <c r="O51" s="437"/>
      <c r="P51" s="437"/>
      <c r="Q51" s="434">
        <v>440000</v>
      </c>
      <c r="R51" s="434">
        <v>0</v>
      </c>
      <c r="S51" s="462">
        <f t="shared" si="4"/>
        <v>440000</v>
      </c>
      <c r="T51" s="437"/>
      <c r="U51" s="541"/>
      <c r="V51" s="540"/>
      <c r="W51" s="621">
        <v>0</v>
      </c>
      <c r="X51" s="615">
        <f t="shared" si="2"/>
        <v>0</v>
      </c>
      <c r="Y51" s="815" t="e">
        <f>F51-W51-#REF!</f>
        <v>#REF!</v>
      </c>
      <c r="Z51" s="626"/>
      <c r="AA51" s="632" t="e">
        <f>#REF!-#REF!</f>
        <v>#REF!</v>
      </c>
      <c r="AB51" s="632"/>
      <c r="AC51" s="875" t="s">
        <v>312</v>
      </c>
      <c r="AD51" s="201"/>
      <c r="AE51" s="201"/>
      <c r="AF51" s="201"/>
      <c r="AG51" s="311" t="e">
        <f>X51+Z51+#REF!</f>
        <v>#REF!</v>
      </c>
      <c r="AH51" s="486"/>
    </row>
    <row r="52" spans="1:40" s="213" customFormat="1" ht="54" hidden="1" customHeight="1" x14ac:dyDescent="0.2">
      <c r="A52" s="316"/>
      <c r="B52" s="318" t="s">
        <v>310</v>
      </c>
      <c r="C52" s="318" t="s">
        <v>277</v>
      </c>
      <c r="D52" s="434">
        <v>330000</v>
      </c>
      <c r="E52" s="434">
        <v>0</v>
      </c>
      <c r="F52" s="462">
        <f t="shared" si="3"/>
        <v>330000</v>
      </c>
      <c r="G52" s="435">
        <v>4</v>
      </c>
      <c r="H52" s="435">
        <v>6</v>
      </c>
      <c r="I52" s="435"/>
      <c r="J52" s="435"/>
      <c r="K52" s="435">
        <v>2</v>
      </c>
      <c r="L52" s="435"/>
      <c r="M52" s="436" t="s">
        <v>185</v>
      </c>
      <c r="N52" s="434">
        <v>0</v>
      </c>
      <c r="O52" s="437"/>
      <c r="P52" s="437"/>
      <c r="Q52" s="434">
        <v>330000</v>
      </c>
      <c r="R52" s="434">
        <v>0</v>
      </c>
      <c r="S52" s="462">
        <f t="shared" si="4"/>
        <v>330000</v>
      </c>
      <c r="T52" s="437"/>
      <c r="U52" s="541"/>
      <c r="V52" s="540"/>
      <c r="W52" s="621">
        <v>0</v>
      </c>
      <c r="X52" s="615">
        <f t="shared" si="2"/>
        <v>0</v>
      </c>
      <c r="Y52" s="815" t="e">
        <f>F52-W52-#REF!</f>
        <v>#REF!</v>
      </c>
      <c r="Z52" s="626"/>
      <c r="AA52" s="632" t="e">
        <f>#REF!-#REF!</f>
        <v>#REF!</v>
      </c>
      <c r="AB52" s="632"/>
      <c r="AC52" s="875" t="s">
        <v>312</v>
      </c>
      <c r="AD52" s="201"/>
      <c r="AE52" s="201"/>
      <c r="AF52" s="201"/>
      <c r="AG52" s="311" t="e">
        <f>X52+Z52+#REF!</f>
        <v>#REF!</v>
      </c>
      <c r="AH52" s="486"/>
    </row>
    <row r="53" spans="1:40" s="213" customFormat="1" ht="39" hidden="1" customHeight="1" x14ac:dyDescent="0.2">
      <c r="A53" s="316"/>
      <c r="B53" s="318" t="s">
        <v>311</v>
      </c>
      <c r="C53" s="318" t="s">
        <v>277</v>
      </c>
      <c r="D53" s="434">
        <v>160000</v>
      </c>
      <c r="E53" s="434">
        <v>0</v>
      </c>
      <c r="F53" s="462">
        <f t="shared" si="3"/>
        <v>160000</v>
      </c>
      <c r="G53" s="435">
        <v>1</v>
      </c>
      <c r="H53" s="435">
        <v>3</v>
      </c>
      <c r="I53" s="435"/>
      <c r="J53" s="435"/>
      <c r="K53" s="435">
        <v>2</v>
      </c>
      <c r="L53" s="435"/>
      <c r="M53" s="436" t="s">
        <v>185</v>
      </c>
      <c r="N53" s="434">
        <v>0</v>
      </c>
      <c r="O53" s="437"/>
      <c r="P53" s="437"/>
      <c r="Q53" s="434">
        <v>160000</v>
      </c>
      <c r="R53" s="434">
        <v>0</v>
      </c>
      <c r="S53" s="462">
        <f t="shared" si="4"/>
        <v>160000</v>
      </c>
      <c r="T53" s="437"/>
      <c r="U53" s="541"/>
      <c r="V53" s="540"/>
      <c r="W53" s="621">
        <v>0</v>
      </c>
      <c r="X53" s="615">
        <f t="shared" si="2"/>
        <v>0</v>
      </c>
      <c r="Y53" s="815" t="e">
        <f>F53-W53-#REF!</f>
        <v>#REF!</v>
      </c>
      <c r="Z53" s="626"/>
      <c r="AA53" s="632" t="e">
        <f>#REF!-#REF!</f>
        <v>#REF!</v>
      </c>
      <c r="AB53" s="632"/>
      <c r="AC53" s="875" t="s">
        <v>312</v>
      </c>
      <c r="AD53" s="201"/>
      <c r="AE53" s="201"/>
      <c r="AF53" s="201"/>
      <c r="AG53" s="311" t="e">
        <f>X53+Z53+#REF!</f>
        <v>#REF!</v>
      </c>
      <c r="AH53" s="486"/>
    </row>
    <row r="54" spans="1:40" s="213" customFormat="1" ht="135" hidden="1" x14ac:dyDescent="0.2">
      <c r="A54" s="329">
        <v>11</v>
      </c>
      <c r="B54" s="322" t="s">
        <v>278</v>
      </c>
      <c r="C54" s="322" t="s">
        <v>279</v>
      </c>
      <c r="D54" s="432">
        <f>SUM(D55:D55)</f>
        <v>0</v>
      </c>
      <c r="E54" s="432">
        <f>SUM(E55:E55)</f>
        <v>42000000</v>
      </c>
      <c r="F54" s="461">
        <f>SUM(F55:F55)</f>
        <v>42000000</v>
      </c>
      <c r="G54" s="438"/>
      <c r="H54" s="438"/>
      <c r="I54" s="438"/>
      <c r="J54" s="438"/>
      <c r="K54" s="438"/>
      <c r="L54" s="438"/>
      <c r="M54" s="439"/>
      <c r="N54" s="432">
        <f>SUM(N55:N55)</f>
        <v>0</v>
      </c>
      <c r="O54" s="433"/>
      <c r="P54" s="433"/>
      <c r="Q54" s="432">
        <f>SUM(Q55:Q55)</f>
        <v>0</v>
      </c>
      <c r="R54" s="432">
        <f>SUM(R55:R55)</f>
        <v>42000000</v>
      </c>
      <c r="S54" s="461">
        <f>SUM(S55:S55)</f>
        <v>42000000</v>
      </c>
      <c r="T54" s="433"/>
      <c r="U54" s="446"/>
      <c r="V54" s="430"/>
      <c r="W54" s="620">
        <f>SUM(W55:W55)</f>
        <v>0</v>
      </c>
      <c r="X54" s="615">
        <f t="shared" si="2"/>
        <v>0</v>
      </c>
      <c r="Y54" s="815" t="e">
        <f>F54-W54-#REF!</f>
        <v>#REF!</v>
      </c>
      <c r="Z54" s="627"/>
      <c r="AA54" s="632" t="e">
        <f>#REF!-#REF!</f>
        <v>#REF!</v>
      </c>
      <c r="AB54" s="632"/>
      <c r="AC54" s="877"/>
      <c r="AD54" s="218"/>
      <c r="AE54" s="218"/>
      <c r="AF54" s="218"/>
      <c r="AG54" s="311" t="e">
        <f>X54+Z54+#REF!</f>
        <v>#REF!</v>
      </c>
      <c r="AH54" s="486"/>
    </row>
    <row r="55" spans="1:40" s="213" customFormat="1" ht="62.25" hidden="1" customHeight="1" x14ac:dyDescent="0.2">
      <c r="A55" s="316"/>
      <c r="B55" s="318" t="s">
        <v>280</v>
      </c>
      <c r="C55" s="318" t="s">
        <v>279</v>
      </c>
      <c r="D55" s="434">
        <v>0</v>
      </c>
      <c r="E55" s="434">
        <v>42000000</v>
      </c>
      <c r="F55" s="462">
        <f>D55+E55</f>
        <v>42000000</v>
      </c>
      <c r="G55" s="435"/>
      <c r="H55" s="435"/>
      <c r="I55" s="435"/>
      <c r="J55" s="435"/>
      <c r="K55" s="435"/>
      <c r="L55" s="435"/>
      <c r="M55" s="436"/>
      <c r="N55" s="434">
        <v>0</v>
      </c>
      <c r="O55" s="437"/>
      <c r="P55" s="437"/>
      <c r="Q55" s="434">
        <v>0</v>
      </c>
      <c r="R55" s="434">
        <v>42000000</v>
      </c>
      <c r="S55" s="462">
        <f>Q55+R55</f>
        <v>42000000</v>
      </c>
      <c r="T55" s="437"/>
      <c r="U55" s="541"/>
      <c r="V55" s="540"/>
      <c r="W55" s="621">
        <v>0</v>
      </c>
      <c r="X55" s="615">
        <f t="shared" si="2"/>
        <v>0</v>
      </c>
      <c r="Y55" s="815" t="e">
        <f>F55-W55-#REF!</f>
        <v>#REF!</v>
      </c>
      <c r="Z55" s="626"/>
      <c r="AA55" s="632" t="e">
        <f>#REF!-#REF!</f>
        <v>#REF!</v>
      </c>
      <c r="AB55" s="632"/>
      <c r="AC55" s="875" t="s">
        <v>390</v>
      </c>
      <c r="AD55" s="201"/>
      <c r="AE55" s="201"/>
      <c r="AF55" s="201"/>
      <c r="AG55" s="311" t="e">
        <f>X55+Z55+#REF!</f>
        <v>#REF!</v>
      </c>
      <c r="AH55" s="486"/>
    </row>
    <row r="56" spans="1:40" s="213" customFormat="1" ht="73.5" hidden="1" customHeight="1" x14ac:dyDescent="0.2">
      <c r="A56" s="329">
        <v>12</v>
      </c>
      <c r="B56" s="322" t="s">
        <v>362</v>
      </c>
      <c r="C56" s="322" t="s">
        <v>279</v>
      </c>
      <c r="D56" s="432">
        <v>0</v>
      </c>
      <c r="E56" s="432">
        <f>SUM(E57:E58)</f>
        <v>25000000</v>
      </c>
      <c r="F56" s="461">
        <f>F57</f>
        <v>25000000</v>
      </c>
      <c r="G56" s="438"/>
      <c r="H56" s="438"/>
      <c r="I56" s="438"/>
      <c r="J56" s="438"/>
      <c r="K56" s="438"/>
      <c r="L56" s="438"/>
      <c r="M56" s="439"/>
      <c r="N56" s="432">
        <v>0</v>
      </c>
      <c r="O56" s="433"/>
      <c r="P56" s="433"/>
      <c r="Q56" s="432">
        <v>0</v>
      </c>
      <c r="R56" s="432">
        <f>SUM(R57:R58)</f>
        <v>25000000</v>
      </c>
      <c r="S56" s="461">
        <f>S57</f>
        <v>25000000</v>
      </c>
      <c r="T56" s="433"/>
      <c r="U56" s="446"/>
      <c r="V56" s="430"/>
      <c r="W56" s="620">
        <v>0</v>
      </c>
      <c r="X56" s="615">
        <f t="shared" si="2"/>
        <v>0</v>
      </c>
      <c r="Y56" s="815" t="e">
        <f>F56-W56-#REF!</f>
        <v>#REF!</v>
      </c>
      <c r="Z56" s="627"/>
      <c r="AA56" s="632" t="e">
        <f>#REF!-#REF!</f>
        <v>#REF!</v>
      </c>
      <c r="AB56" s="632"/>
      <c r="AC56" s="877"/>
      <c r="AD56" s="218"/>
      <c r="AE56" s="218"/>
      <c r="AF56" s="218"/>
      <c r="AG56" s="311" t="e">
        <f>X56+Z56+#REF!</f>
        <v>#REF!</v>
      </c>
      <c r="AH56" s="486"/>
    </row>
    <row r="57" spans="1:40" s="213" customFormat="1" ht="1.9" hidden="1" customHeight="1" x14ac:dyDescent="0.2">
      <c r="A57" s="316"/>
      <c r="B57" s="318" t="s">
        <v>419</v>
      </c>
      <c r="C57" s="318" t="s">
        <v>279</v>
      </c>
      <c r="D57" s="434">
        <v>0</v>
      </c>
      <c r="E57" s="434">
        <v>25000000</v>
      </c>
      <c r="F57" s="462">
        <f>D57+E57</f>
        <v>25000000</v>
      </c>
      <c r="G57" s="435"/>
      <c r="H57" s="435"/>
      <c r="I57" s="435"/>
      <c r="J57" s="435"/>
      <c r="K57" s="435"/>
      <c r="L57" s="435"/>
      <c r="M57" s="436"/>
      <c r="N57" s="434">
        <v>0</v>
      </c>
      <c r="O57" s="437"/>
      <c r="P57" s="437"/>
      <c r="Q57" s="434">
        <v>0</v>
      </c>
      <c r="R57" s="434">
        <v>25000000</v>
      </c>
      <c r="S57" s="462">
        <f>Q57+R57</f>
        <v>25000000</v>
      </c>
      <c r="T57" s="437"/>
      <c r="U57" s="541"/>
      <c r="V57" s="540"/>
      <c r="W57" s="621">
        <v>0</v>
      </c>
      <c r="X57" s="615">
        <f t="shared" si="2"/>
        <v>0</v>
      </c>
      <c r="Y57" s="815" t="e">
        <f>F57-W57-#REF!</f>
        <v>#REF!</v>
      </c>
      <c r="Z57" s="626"/>
      <c r="AA57" s="632" t="e">
        <f>#REF!-#REF!</f>
        <v>#REF!</v>
      </c>
      <c r="AB57" s="632"/>
      <c r="AC57" s="875" t="s">
        <v>391</v>
      </c>
      <c r="AD57" s="201"/>
      <c r="AE57" s="201"/>
      <c r="AF57" s="201"/>
      <c r="AG57" s="311" t="e">
        <f>X57+Z57+#REF!</f>
        <v>#REF!</v>
      </c>
      <c r="AH57" s="486"/>
    </row>
    <row r="58" spans="1:40" s="333" customFormat="1" ht="82.9" customHeight="1" x14ac:dyDescent="0.2">
      <c r="A58" s="330"/>
      <c r="B58" s="570" t="s">
        <v>524</v>
      </c>
      <c r="C58" s="331"/>
      <c r="D58" s="440">
        <f>D59+D60+D64</f>
        <v>14774600</v>
      </c>
      <c r="E58" s="441">
        <f>E59+E60+E64</f>
        <v>0</v>
      </c>
      <c r="F58" s="463">
        <f>F59+F60+F64</f>
        <v>14774600</v>
      </c>
      <c r="G58" s="440"/>
      <c r="H58" s="440"/>
      <c r="I58" s="440"/>
      <c r="J58" s="440"/>
      <c r="K58" s="440"/>
      <c r="L58" s="440"/>
      <c r="M58" s="440"/>
      <c r="N58" s="440">
        <v>90000</v>
      </c>
      <c r="O58" s="441">
        <f>N58/F58*100</f>
        <v>0.60915354730415716</v>
      </c>
      <c r="P58" s="441">
        <v>0</v>
      </c>
      <c r="Q58" s="440">
        <v>14444400</v>
      </c>
      <c r="R58" s="441">
        <f>R59+R60+R64</f>
        <v>0</v>
      </c>
      <c r="S58" s="463">
        <f>Q58+R58</f>
        <v>14444400</v>
      </c>
      <c r="T58" s="441">
        <f>9000+6153431.17+4372041.04</f>
        <v>10534472.210000001</v>
      </c>
      <c r="U58" s="537">
        <f>W58+937000</f>
        <v>14422683.08</v>
      </c>
      <c r="V58" s="538">
        <f>U58/S58*100</f>
        <v>99.84965162969732</v>
      </c>
      <c r="W58" s="918">
        <v>13485683.08</v>
      </c>
      <c r="X58" s="615">
        <f>W58/S58*100</f>
        <v>93.362708592949517</v>
      </c>
      <c r="Y58" s="815">
        <f>S58-W58-AA58</f>
        <v>936999.99999999988</v>
      </c>
      <c r="Z58" s="624">
        <f>Y58/F58*100</f>
        <v>6.3419652647110585</v>
      </c>
      <c r="AA58" s="632">
        <v>21716.92</v>
      </c>
      <c r="AB58" s="632">
        <f>AA58/S58*100</f>
        <v>0.15034837030267784</v>
      </c>
      <c r="AC58" s="920">
        <f>W58+Y58+AA58</f>
        <v>14444400</v>
      </c>
      <c r="AD58" s="332"/>
      <c r="AE58" s="332"/>
      <c r="AF58" s="332"/>
      <c r="AG58" s="311" t="e">
        <f>X58+Z58+#REF!</f>
        <v>#REF!</v>
      </c>
      <c r="AH58" s="488">
        <v>6391646.46</v>
      </c>
      <c r="AI58" s="495">
        <f>W58-AH58</f>
        <v>7094036.6200000001</v>
      </c>
      <c r="AN58" s="593" t="e">
        <f>AL32-AN32</f>
        <v>#REF!</v>
      </c>
    </row>
    <row r="59" spans="1:40" s="213" customFormat="1" ht="31.5" hidden="1" customHeight="1" x14ac:dyDescent="0.2">
      <c r="A59" s="325"/>
      <c r="B59" s="326" t="s">
        <v>138</v>
      </c>
      <c r="C59" s="327"/>
      <c r="D59" s="442">
        <v>9000000</v>
      </c>
      <c r="E59" s="442">
        <v>0</v>
      </c>
      <c r="F59" s="442">
        <v>9000000</v>
      </c>
      <c r="G59" s="443"/>
      <c r="H59" s="443"/>
      <c r="I59" s="443"/>
      <c r="J59" s="443"/>
      <c r="K59" s="443"/>
      <c r="L59" s="443"/>
      <c r="M59" s="443"/>
      <c r="N59" s="444">
        <f>W59+45000</f>
        <v>943656.17</v>
      </c>
      <c r="O59" s="445"/>
      <c r="P59" s="445"/>
      <c r="Q59" s="442">
        <v>9000000</v>
      </c>
      <c r="R59" s="442">
        <v>0</v>
      </c>
      <c r="S59" s="442">
        <v>9000000</v>
      </c>
      <c r="T59" s="445"/>
      <c r="U59" s="542"/>
      <c r="V59" s="542"/>
      <c r="W59" s="622">
        <v>898656.17</v>
      </c>
      <c r="X59" s="615">
        <f t="shared" si="2"/>
        <v>9.9850685555555554</v>
      </c>
      <c r="Y59" s="815" t="e">
        <f>F59-W59-#REF!</f>
        <v>#REF!</v>
      </c>
      <c r="Z59" s="628"/>
      <c r="AA59" s="632" t="e">
        <f>#REF!-#REF!</f>
        <v>#REF!</v>
      </c>
      <c r="AB59" s="632"/>
      <c r="AC59" s="466">
        <f>W60+W64</f>
        <v>596200</v>
      </c>
      <c r="AD59" s="215"/>
      <c r="AE59" s="215"/>
      <c r="AF59" s="215"/>
      <c r="AG59" s="311" t="e">
        <f>X59+Z59+#REF!</f>
        <v>#REF!</v>
      </c>
      <c r="AH59" s="486"/>
    </row>
    <row r="60" spans="1:40" s="213" customFormat="1" ht="22.5" hidden="1" customHeight="1" x14ac:dyDescent="0.2">
      <c r="A60" s="334">
        <v>13</v>
      </c>
      <c r="B60" s="335" t="s">
        <v>282</v>
      </c>
      <c r="C60" s="335" t="s">
        <v>320</v>
      </c>
      <c r="D60" s="446">
        <f>SUM(D61:D61)</f>
        <v>1741100</v>
      </c>
      <c r="E60" s="446">
        <f>SUM(E61:E61)</f>
        <v>0</v>
      </c>
      <c r="F60" s="446">
        <f>SUM(F61:F61)</f>
        <v>1741100</v>
      </c>
      <c r="G60" s="447"/>
      <c r="H60" s="447"/>
      <c r="I60" s="447"/>
      <c r="J60" s="447"/>
      <c r="K60" s="447"/>
      <c r="L60" s="447"/>
      <c r="M60" s="448"/>
      <c r="N60" s="446">
        <f>N62+N63</f>
        <v>254000</v>
      </c>
      <c r="O60" s="433"/>
      <c r="P60" s="433"/>
      <c r="Q60" s="446">
        <f>SUM(Q61:Q61)</f>
        <v>1741100</v>
      </c>
      <c r="R60" s="446">
        <f>SUM(R61:R61)</f>
        <v>0</v>
      </c>
      <c r="S60" s="446">
        <f>SUM(S61:S61)</f>
        <v>1741100</v>
      </c>
      <c r="T60" s="433"/>
      <c r="U60" s="446"/>
      <c r="V60" s="446"/>
      <c r="W60" s="620">
        <f>W62+W63</f>
        <v>254000</v>
      </c>
      <c r="X60" s="615">
        <f t="shared" si="2"/>
        <v>14.588478548044339</v>
      </c>
      <c r="Y60" s="815" t="e">
        <f>F60-W60-#REF!</f>
        <v>#REF!</v>
      </c>
      <c r="Z60" s="627"/>
      <c r="AA60" s="632" t="e">
        <f>#REF!-#REF!</f>
        <v>#REF!</v>
      </c>
      <c r="AB60" s="632"/>
      <c r="AC60" s="523"/>
      <c r="AD60" s="218"/>
      <c r="AE60" s="218"/>
      <c r="AF60" s="218"/>
      <c r="AG60" s="311" t="e">
        <f>X60+Z60+#REF!</f>
        <v>#REF!</v>
      </c>
      <c r="AH60" s="486"/>
    </row>
    <row r="61" spans="1:40" s="213" customFormat="1" ht="33.75" hidden="1" customHeight="1" x14ac:dyDescent="0.2">
      <c r="A61" s="316"/>
      <c r="B61" s="318" t="s">
        <v>283</v>
      </c>
      <c r="C61" s="318" t="s">
        <v>319</v>
      </c>
      <c r="D61" s="434">
        <v>1741100</v>
      </c>
      <c r="E61" s="434">
        <v>0</v>
      </c>
      <c r="F61" s="434">
        <f>D61+E61</f>
        <v>1741100</v>
      </c>
      <c r="G61" s="435">
        <v>12</v>
      </c>
      <c r="H61" s="435">
        <v>3</v>
      </c>
      <c r="I61" s="435"/>
      <c r="J61" s="435"/>
      <c r="K61" s="435">
        <v>2</v>
      </c>
      <c r="L61" s="435"/>
      <c r="M61" s="436" t="s">
        <v>185</v>
      </c>
      <c r="N61" s="434">
        <f>N62+N63</f>
        <v>254000</v>
      </c>
      <c r="O61" s="437"/>
      <c r="P61" s="437"/>
      <c r="Q61" s="434">
        <v>1741100</v>
      </c>
      <c r="R61" s="434">
        <v>0</v>
      </c>
      <c r="S61" s="434">
        <f>Q61+R61</f>
        <v>1741100</v>
      </c>
      <c r="T61" s="437"/>
      <c r="U61" s="541"/>
      <c r="V61" s="541"/>
      <c r="W61" s="621">
        <f>W62+W63</f>
        <v>254000</v>
      </c>
      <c r="X61" s="615">
        <f t="shared" si="2"/>
        <v>14.588478548044339</v>
      </c>
      <c r="Y61" s="815" t="e">
        <f>F61-W61-#REF!</f>
        <v>#REF!</v>
      </c>
      <c r="Z61" s="626"/>
      <c r="AA61" s="632" t="e">
        <f>#REF!-#REF!</f>
        <v>#REF!</v>
      </c>
      <c r="AB61" s="632"/>
      <c r="AC61" s="522"/>
      <c r="AD61" s="201"/>
      <c r="AE61" s="201"/>
      <c r="AF61" s="201"/>
      <c r="AG61" s="311" t="e">
        <f>X61+Z61+#REF!</f>
        <v>#REF!</v>
      </c>
      <c r="AH61" s="486"/>
    </row>
    <row r="62" spans="1:40" s="213" customFormat="1" ht="70.5" hidden="1" customHeight="1" x14ac:dyDescent="0.2">
      <c r="A62" s="316"/>
      <c r="B62" s="318" t="s">
        <v>321</v>
      </c>
      <c r="C62" s="318" t="s">
        <v>319</v>
      </c>
      <c r="D62" s="434">
        <v>909900</v>
      </c>
      <c r="E62" s="434">
        <v>0</v>
      </c>
      <c r="F62" s="434">
        <v>909900</v>
      </c>
      <c r="G62" s="435">
        <v>12</v>
      </c>
      <c r="H62" s="435">
        <v>3</v>
      </c>
      <c r="I62" s="435"/>
      <c r="J62" s="435"/>
      <c r="K62" s="435">
        <v>2</v>
      </c>
      <c r="L62" s="435"/>
      <c r="M62" s="436" t="s">
        <v>185</v>
      </c>
      <c r="N62" s="434">
        <f>254000</f>
        <v>254000</v>
      </c>
      <c r="O62" s="437"/>
      <c r="P62" s="437"/>
      <c r="Q62" s="434">
        <v>909900</v>
      </c>
      <c r="R62" s="434">
        <v>0</v>
      </c>
      <c r="S62" s="434">
        <v>909900</v>
      </c>
      <c r="T62" s="437"/>
      <c r="U62" s="541"/>
      <c r="V62" s="541"/>
      <c r="W62" s="621">
        <f>242975+10425+600</f>
        <v>254000</v>
      </c>
      <c r="X62" s="615">
        <f t="shared" si="2"/>
        <v>27.91515551159468</v>
      </c>
      <c r="Y62" s="815" t="e">
        <f>F62-W62-#REF!</f>
        <v>#REF!</v>
      </c>
      <c r="Z62" s="626"/>
      <c r="AA62" s="632" t="e">
        <f>#REF!-#REF!</f>
        <v>#REF!</v>
      </c>
      <c r="AB62" s="632"/>
      <c r="AC62" s="1324" t="s">
        <v>357</v>
      </c>
      <c r="AD62" s="336"/>
      <c r="AE62" s="336" t="s">
        <v>397</v>
      </c>
      <c r="AF62" s="336">
        <f>600+10425+242975</f>
        <v>254000</v>
      </c>
      <c r="AG62" s="311" t="e">
        <f>X62+Z62+#REF!</f>
        <v>#REF!</v>
      </c>
      <c r="AH62" s="486"/>
    </row>
    <row r="63" spans="1:40" s="213" customFormat="1" ht="31.5" hidden="1" customHeight="1" x14ac:dyDescent="0.2">
      <c r="A63" s="316"/>
      <c r="B63" s="318" t="s">
        <v>322</v>
      </c>
      <c r="C63" s="318" t="s">
        <v>319</v>
      </c>
      <c r="D63" s="434">
        <v>831200</v>
      </c>
      <c r="E63" s="434">
        <v>0</v>
      </c>
      <c r="F63" s="434">
        <v>831200</v>
      </c>
      <c r="G63" s="435">
        <v>12</v>
      </c>
      <c r="H63" s="435">
        <v>3</v>
      </c>
      <c r="I63" s="435"/>
      <c r="J63" s="435"/>
      <c r="K63" s="435">
        <v>2</v>
      </c>
      <c r="L63" s="435"/>
      <c r="M63" s="436" t="s">
        <v>185</v>
      </c>
      <c r="N63" s="434">
        <v>0</v>
      </c>
      <c r="O63" s="437"/>
      <c r="P63" s="437"/>
      <c r="Q63" s="434">
        <v>831200</v>
      </c>
      <c r="R63" s="434">
        <v>0</v>
      </c>
      <c r="S63" s="434">
        <v>831200</v>
      </c>
      <c r="T63" s="437"/>
      <c r="U63" s="541"/>
      <c r="V63" s="541"/>
      <c r="W63" s="621">
        <v>0</v>
      </c>
      <c r="X63" s="615">
        <f t="shared" si="2"/>
        <v>0</v>
      </c>
      <c r="Y63" s="815" t="e">
        <f>F63-W63-#REF!</f>
        <v>#REF!</v>
      </c>
      <c r="Z63" s="626"/>
      <c r="AA63" s="632" t="e">
        <f>#REF!-#REF!</f>
        <v>#REF!</v>
      </c>
      <c r="AB63" s="632"/>
      <c r="AC63" s="1324"/>
      <c r="AD63" s="337"/>
      <c r="AE63" s="337"/>
      <c r="AF63" s="338"/>
      <c r="AG63" s="311" t="e">
        <f>X63+Z63+#REF!</f>
        <v>#REF!</v>
      </c>
      <c r="AH63" s="486"/>
    </row>
    <row r="64" spans="1:40" s="213" customFormat="1" ht="50.25" hidden="1" customHeight="1" x14ac:dyDescent="0.2">
      <c r="A64" s="334">
        <v>14</v>
      </c>
      <c r="B64" s="335" t="s">
        <v>408</v>
      </c>
      <c r="C64" s="335" t="s">
        <v>333</v>
      </c>
      <c r="D64" s="446">
        <f>SUM(D65:D78)</f>
        <v>4033500</v>
      </c>
      <c r="E64" s="446">
        <f>SUM(E65:E68)</f>
        <v>0</v>
      </c>
      <c r="F64" s="446">
        <f>SUM(F65:F78)</f>
        <v>4033500</v>
      </c>
      <c r="G64" s="447"/>
      <c r="H64" s="447"/>
      <c r="I64" s="447"/>
      <c r="J64" s="447"/>
      <c r="K64" s="447"/>
      <c r="L64" s="447"/>
      <c r="M64" s="448"/>
      <c r="N64" s="446">
        <f>N65+N66+N67+N68+N69+N70+N71+N72+N73+N74+N75+N76+N77+N78</f>
        <v>443000</v>
      </c>
      <c r="O64" s="433"/>
      <c r="P64" s="433"/>
      <c r="Q64" s="446">
        <f>SUM(Q65:Q78)</f>
        <v>4033500</v>
      </c>
      <c r="R64" s="446">
        <f>SUM(R65:R68)</f>
        <v>0</v>
      </c>
      <c r="S64" s="446">
        <f>SUM(S65:S78)</f>
        <v>4033500</v>
      </c>
      <c r="T64" s="433"/>
      <c r="U64" s="446"/>
      <c r="V64" s="446"/>
      <c r="W64" s="620">
        <f>W65+W66+W67+W68+W69+W70+W71+W72+W73+W74+W75+W76+W77+W78</f>
        <v>342200</v>
      </c>
      <c r="X64" s="615">
        <f t="shared" si="2"/>
        <v>8.4839469443411435</v>
      </c>
      <c r="Y64" s="815" t="e">
        <f>F64-W64-#REF!</f>
        <v>#REF!</v>
      </c>
      <c r="Z64" s="627"/>
      <c r="AA64" s="632" t="e">
        <f>#REF!-#REF!</f>
        <v>#REF!</v>
      </c>
      <c r="AB64" s="632"/>
      <c r="AC64" s="524"/>
      <c r="AD64" s="218"/>
      <c r="AE64" s="218"/>
      <c r="AF64" s="216">
        <f>596200-AC64</f>
        <v>596200</v>
      </c>
      <c r="AG64" s="311" t="e">
        <f>X64+Z64+#REF!</f>
        <v>#REF!</v>
      </c>
      <c r="AH64" s="486"/>
    </row>
    <row r="65" spans="1:35" s="213" customFormat="1" ht="51.75" hidden="1" customHeight="1" x14ac:dyDescent="0.2">
      <c r="A65" s="316">
        <v>1</v>
      </c>
      <c r="B65" s="318" t="s">
        <v>284</v>
      </c>
      <c r="C65" s="318" t="s">
        <v>334</v>
      </c>
      <c r="D65" s="434">
        <v>60000</v>
      </c>
      <c r="E65" s="434">
        <v>0</v>
      </c>
      <c r="F65" s="434">
        <f t="shared" ref="F65:F78" si="5">D65+E65</f>
        <v>60000</v>
      </c>
      <c r="G65" s="435">
        <v>11</v>
      </c>
      <c r="H65" s="435">
        <v>1</v>
      </c>
      <c r="I65" s="435"/>
      <c r="J65" s="435"/>
      <c r="K65" s="435">
        <v>2</v>
      </c>
      <c r="L65" s="435"/>
      <c r="M65" s="436" t="s">
        <v>185</v>
      </c>
      <c r="N65" s="434">
        <v>0</v>
      </c>
      <c r="O65" s="437"/>
      <c r="P65" s="437"/>
      <c r="Q65" s="434">
        <v>60000</v>
      </c>
      <c r="R65" s="434">
        <v>0</v>
      </c>
      <c r="S65" s="434">
        <f t="shared" ref="S65:S78" si="6">Q65+R65</f>
        <v>60000</v>
      </c>
      <c r="T65" s="437"/>
      <c r="U65" s="541"/>
      <c r="V65" s="541"/>
      <c r="W65" s="621">
        <v>0</v>
      </c>
      <c r="X65" s="615">
        <f t="shared" si="2"/>
        <v>0</v>
      </c>
      <c r="Y65" s="815" t="e">
        <f>F65-W65-#REF!</f>
        <v>#REF!</v>
      </c>
      <c r="Z65" s="626"/>
      <c r="AA65" s="632" t="e">
        <f>#REF!-#REF!</f>
        <v>#REF!</v>
      </c>
      <c r="AB65" s="632"/>
      <c r="AC65" s="522" t="s">
        <v>339</v>
      </c>
      <c r="AD65" s="201"/>
      <c r="AE65" s="201"/>
      <c r="AF65" s="201"/>
      <c r="AG65" s="311" t="e">
        <f>X65+Z65+#REF!</f>
        <v>#REF!</v>
      </c>
      <c r="AH65" s="486"/>
    </row>
    <row r="66" spans="1:35" s="342" customFormat="1" ht="56.25" hidden="1" customHeight="1" x14ac:dyDescent="0.2">
      <c r="A66" s="339">
        <v>2</v>
      </c>
      <c r="B66" s="340" t="s">
        <v>407</v>
      </c>
      <c r="C66" s="340" t="s">
        <v>334</v>
      </c>
      <c r="D66" s="449">
        <v>25000</v>
      </c>
      <c r="E66" s="449">
        <v>0</v>
      </c>
      <c r="F66" s="449">
        <f t="shared" si="5"/>
        <v>25000</v>
      </c>
      <c r="G66" s="450">
        <v>11</v>
      </c>
      <c r="H66" s="450">
        <v>12</v>
      </c>
      <c r="I66" s="450"/>
      <c r="J66" s="450"/>
      <c r="K66" s="450">
        <v>2</v>
      </c>
      <c r="L66" s="450"/>
      <c r="M66" s="451" t="s">
        <v>185</v>
      </c>
      <c r="N66" s="449">
        <v>25000</v>
      </c>
      <c r="O66" s="452"/>
      <c r="P66" s="452"/>
      <c r="Q66" s="449">
        <v>25000</v>
      </c>
      <c r="R66" s="449">
        <v>0</v>
      </c>
      <c r="S66" s="449">
        <f t="shared" si="6"/>
        <v>25000</v>
      </c>
      <c r="T66" s="452"/>
      <c r="U66" s="543"/>
      <c r="V66" s="543"/>
      <c r="W66" s="623">
        <v>25000</v>
      </c>
      <c r="X66" s="615">
        <f t="shared" si="2"/>
        <v>100</v>
      </c>
      <c r="Y66" s="815" t="e">
        <f>F66-W66-#REF!</f>
        <v>#REF!</v>
      </c>
      <c r="Z66" s="629"/>
      <c r="AA66" s="632" t="e">
        <f>#REF!-#REF!</f>
        <v>#REF!</v>
      </c>
      <c r="AB66" s="632"/>
      <c r="AC66" s="522" t="s">
        <v>340</v>
      </c>
      <c r="AD66" s="341"/>
      <c r="AE66" s="341"/>
      <c r="AF66" s="341" t="s">
        <v>402</v>
      </c>
      <c r="AG66" s="311" t="e">
        <f>X66+Z66+#REF!</f>
        <v>#REF!</v>
      </c>
      <c r="AH66" s="489"/>
    </row>
    <row r="67" spans="1:35" s="342" customFormat="1" ht="78" hidden="1" customHeight="1" x14ac:dyDescent="0.2">
      <c r="A67" s="339">
        <v>3</v>
      </c>
      <c r="B67" s="340" t="s">
        <v>387</v>
      </c>
      <c r="C67" s="340" t="s">
        <v>334</v>
      </c>
      <c r="D67" s="449">
        <v>60000</v>
      </c>
      <c r="E67" s="449">
        <v>0</v>
      </c>
      <c r="F67" s="449">
        <f t="shared" si="5"/>
        <v>60000</v>
      </c>
      <c r="G67" s="450">
        <v>11</v>
      </c>
      <c r="H67" s="450">
        <v>11</v>
      </c>
      <c r="I67" s="450"/>
      <c r="J67" s="450"/>
      <c r="K67" s="450">
        <v>3</v>
      </c>
      <c r="L67" s="450"/>
      <c r="M67" s="451" t="s">
        <v>185</v>
      </c>
      <c r="N67" s="449">
        <v>60000</v>
      </c>
      <c r="O67" s="452"/>
      <c r="P67" s="452"/>
      <c r="Q67" s="449">
        <v>60000</v>
      </c>
      <c r="R67" s="449">
        <v>0</v>
      </c>
      <c r="S67" s="449">
        <f t="shared" si="6"/>
        <v>60000</v>
      </c>
      <c r="T67" s="452"/>
      <c r="U67" s="543"/>
      <c r="V67" s="543"/>
      <c r="W67" s="623">
        <v>60000</v>
      </c>
      <c r="X67" s="615">
        <f t="shared" si="2"/>
        <v>100</v>
      </c>
      <c r="Y67" s="815" t="e">
        <f>F67-W67-#REF!</f>
        <v>#REF!</v>
      </c>
      <c r="Z67" s="629"/>
      <c r="AA67" s="632" t="e">
        <f>#REF!-#REF!</f>
        <v>#REF!</v>
      </c>
      <c r="AB67" s="632"/>
      <c r="AC67" s="522" t="s">
        <v>341</v>
      </c>
      <c r="AD67" s="341"/>
      <c r="AE67" s="341"/>
      <c r="AF67" s="341" t="s">
        <v>403</v>
      </c>
      <c r="AG67" s="311" t="e">
        <f>X67+Z67+#REF!</f>
        <v>#REF!</v>
      </c>
      <c r="AH67" s="489"/>
    </row>
    <row r="68" spans="1:35" s="342" customFormat="1" ht="243" hidden="1" x14ac:dyDescent="0.2">
      <c r="A68" s="339">
        <v>4</v>
      </c>
      <c r="B68" s="340" t="s">
        <v>285</v>
      </c>
      <c r="C68" s="340" t="s">
        <v>334</v>
      </c>
      <c r="D68" s="449">
        <v>372000</v>
      </c>
      <c r="E68" s="449">
        <v>0</v>
      </c>
      <c r="F68" s="449">
        <f t="shared" si="5"/>
        <v>372000</v>
      </c>
      <c r="G68" s="450">
        <v>11</v>
      </c>
      <c r="H68" s="450">
        <v>11</v>
      </c>
      <c r="I68" s="450"/>
      <c r="J68" s="450"/>
      <c r="K68" s="450">
        <v>2</v>
      </c>
      <c r="L68" s="450"/>
      <c r="M68" s="451" t="s">
        <v>185</v>
      </c>
      <c r="N68" s="449">
        <f>236800+100800</f>
        <v>337600</v>
      </c>
      <c r="O68" s="452"/>
      <c r="P68" s="452"/>
      <c r="Q68" s="449">
        <v>372000</v>
      </c>
      <c r="R68" s="449">
        <v>0</v>
      </c>
      <c r="S68" s="449">
        <f t="shared" si="6"/>
        <v>372000</v>
      </c>
      <c r="T68" s="452"/>
      <c r="U68" s="543"/>
      <c r="V68" s="543"/>
      <c r="W68" s="623">
        <f>100800+136000</f>
        <v>236800</v>
      </c>
      <c r="X68" s="615">
        <f t="shared" si="2"/>
        <v>63.655913978494624</v>
      </c>
      <c r="Y68" s="815" t="e">
        <f>F68-W68-#REF!</f>
        <v>#REF!</v>
      </c>
      <c r="Z68" s="629"/>
      <c r="AA68" s="632" t="e">
        <f>#REF!-#REF!</f>
        <v>#REF!</v>
      </c>
      <c r="AB68" s="632"/>
      <c r="AC68" s="522" t="s">
        <v>410</v>
      </c>
      <c r="AD68" s="341"/>
      <c r="AE68" s="341"/>
      <c r="AF68" s="341"/>
      <c r="AG68" s="311" t="e">
        <f>X68+Z68+#REF!</f>
        <v>#REF!</v>
      </c>
      <c r="AH68" s="489"/>
    </row>
    <row r="69" spans="1:35" s="213" customFormat="1" ht="101.25" hidden="1" x14ac:dyDescent="0.2">
      <c r="A69" s="316">
        <v>5</v>
      </c>
      <c r="B69" s="318" t="s">
        <v>286</v>
      </c>
      <c r="C69" s="318" t="s">
        <v>334</v>
      </c>
      <c r="D69" s="434">
        <v>75000</v>
      </c>
      <c r="E69" s="434">
        <v>0</v>
      </c>
      <c r="F69" s="434">
        <f t="shared" si="5"/>
        <v>75000</v>
      </c>
      <c r="G69" s="435">
        <v>11</v>
      </c>
      <c r="H69" s="435">
        <v>3</v>
      </c>
      <c r="I69" s="435"/>
      <c r="J69" s="435"/>
      <c r="K69" s="435">
        <v>2</v>
      </c>
      <c r="L69" s="435"/>
      <c r="M69" s="436" t="s">
        <v>185</v>
      </c>
      <c r="N69" s="434">
        <v>0</v>
      </c>
      <c r="O69" s="437"/>
      <c r="P69" s="437"/>
      <c r="Q69" s="434">
        <v>75000</v>
      </c>
      <c r="R69" s="434">
        <v>0</v>
      </c>
      <c r="S69" s="434">
        <f t="shared" si="6"/>
        <v>75000</v>
      </c>
      <c r="T69" s="437"/>
      <c r="U69" s="541"/>
      <c r="V69" s="541"/>
      <c r="W69" s="621">
        <v>0</v>
      </c>
      <c r="X69" s="615">
        <f t="shared" si="2"/>
        <v>0</v>
      </c>
      <c r="Y69" s="815" t="e">
        <f>F69-W69-#REF!</f>
        <v>#REF!</v>
      </c>
      <c r="Z69" s="626"/>
      <c r="AA69" s="632" t="e">
        <f>#REF!-#REF!</f>
        <v>#REF!</v>
      </c>
      <c r="AB69" s="632"/>
      <c r="AC69" s="522" t="s">
        <v>342</v>
      </c>
      <c r="AD69" s="201"/>
      <c r="AE69" s="201"/>
      <c r="AF69" s="201"/>
      <c r="AG69" s="311" t="e">
        <f>X69+Z69+#REF!</f>
        <v>#REF!</v>
      </c>
      <c r="AH69" s="486"/>
    </row>
    <row r="70" spans="1:35" s="213" customFormat="1" ht="135" hidden="1" x14ac:dyDescent="0.2">
      <c r="A70" s="316">
        <v>6</v>
      </c>
      <c r="B70" s="318" t="s">
        <v>287</v>
      </c>
      <c r="C70" s="318" t="s">
        <v>334</v>
      </c>
      <c r="D70" s="434">
        <v>480000</v>
      </c>
      <c r="E70" s="434">
        <v>0</v>
      </c>
      <c r="F70" s="434">
        <f t="shared" si="5"/>
        <v>480000</v>
      </c>
      <c r="G70" s="435">
        <v>11</v>
      </c>
      <c r="H70" s="435">
        <v>3</v>
      </c>
      <c r="I70" s="435"/>
      <c r="J70" s="435"/>
      <c r="K70" s="435">
        <v>2</v>
      </c>
      <c r="L70" s="435"/>
      <c r="M70" s="436" t="s">
        <v>185</v>
      </c>
      <c r="N70" s="434">
        <v>0</v>
      </c>
      <c r="O70" s="437"/>
      <c r="P70" s="437"/>
      <c r="Q70" s="434">
        <v>480000</v>
      </c>
      <c r="R70" s="434">
        <v>0</v>
      </c>
      <c r="S70" s="434">
        <f t="shared" si="6"/>
        <v>480000</v>
      </c>
      <c r="T70" s="437"/>
      <c r="U70" s="541"/>
      <c r="V70" s="541"/>
      <c r="W70" s="621">
        <v>0</v>
      </c>
      <c r="X70" s="615">
        <f t="shared" si="2"/>
        <v>0</v>
      </c>
      <c r="Y70" s="815" t="e">
        <f>F70-W70-#REF!</f>
        <v>#REF!</v>
      </c>
      <c r="Z70" s="626"/>
      <c r="AA70" s="632" t="e">
        <f>#REF!-#REF!</f>
        <v>#REF!</v>
      </c>
      <c r="AB70" s="632"/>
      <c r="AC70" s="522" t="s">
        <v>343</v>
      </c>
      <c r="AD70" s="201"/>
      <c r="AE70" s="201"/>
      <c r="AF70" s="201"/>
      <c r="AG70" s="311" t="e">
        <f>X70+Z70+#REF!</f>
        <v>#REF!</v>
      </c>
      <c r="AH70" s="486"/>
    </row>
    <row r="71" spans="1:35" s="213" customFormat="1" ht="75.75" hidden="1" customHeight="1" x14ac:dyDescent="0.2">
      <c r="A71" s="316">
        <v>7</v>
      </c>
      <c r="B71" s="318" t="s">
        <v>288</v>
      </c>
      <c r="C71" s="318" t="s">
        <v>334</v>
      </c>
      <c r="D71" s="434">
        <v>407000</v>
      </c>
      <c r="E71" s="434">
        <v>0</v>
      </c>
      <c r="F71" s="434">
        <f t="shared" si="5"/>
        <v>407000</v>
      </c>
      <c r="G71" s="435">
        <v>11</v>
      </c>
      <c r="H71" s="435">
        <v>2</v>
      </c>
      <c r="I71" s="435"/>
      <c r="J71" s="435"/>
      <c r="K71" s="435">
        <v>2</v>
      </c>
      <c r="L71" s="435"/>
      <c r="M71" s="436" t="s">
        <v>185</v>
      </c>
      <c r="N71" s="434">
        <v>0</v>
      </c>
      <c r="O71" s="437"/>
      <c r="P71" s="437"/>
      <c r="Q71" s="434">
        <v>407000</v>
      </c>
      <c r="R71" s="434">
        <v>0</v>
      </c>
      <c r="S71" s="434">
        <f t="shared" si="6"/>
        <v>407000</v>
      </c>
      <c r="T71" s="437"/>
      <c r="U71" s="541"/>
      <c r="V71" s="541"/>
      <c r="W71" s="621">
        <v>0</v>
      </c>
      <c r="X71" s="615">
        <f t="shared" ref="X71:X78" si="7">W71/F71*100</f>
        <v>0</v>
      </c>
      <c r="Y71" s="815" t="e">
        <f>F71-W71-#REF!</f>
        <v>#REF!</v>
      </c>
      <c r="Z71" s="626"/>
      <c r="AA71" s="632" t="e">
        <f>#REF!-#REF!</f>
        <v>#REF!</v>
      </c>
      <c r="AB71" s="632"/>
      <c r="AC71" s="522" t="s">
        <v>344</v>
      </c>
      <c r="AD71" s="201"/>
      <c r="AE71" s="201"/>
      <c r="AF71" s="201"/>
      <c r="AG71" s="311" t="e">
        <f>X71+Z71+#REF!</f>
        <v>#REF!</v>
      </c>
      <c r="AH71" s="486"/>
    </row>
    <row r="72" spans="1:35" s="213" customFormat="1" ht="59.25" hidden="1" customHeight="1" x14ac:dyDescent="0.2">
      <c r="A72" s="316">
        <v>8</v>
      </c>
      <c r="B72" s="318" t="s">
        <v>289</v>
      </c>
      <c r="C72" s="318" t="s">
        <v>334</v>
      </c>
      <c r="D72" s="434">
        <v>100000</v>
      </c>
      <c r="E72" s="434">
        <v>0</v>
      </c>
      <c r="F72" s="434">
        <f t="shared" si="5"/>
        <v>100000</v>
      </c>
      <c r="G72" s="435">
        <v>3</v>
      </c>
      <c r="H72" s="435">
        <v>5</v>
      </c>
      <c r="I72" s="435"/>
      <c r="J72" s="435"/>
      <c r="K72" s="435">
        <v>1</v>
      </c>
      <c r="L72" s="435"/>
      <c r="M72" s="436" t="s">
        <v>185</v>
      </c>
      <c r="N72" s="434">
        <v>0</v>
      </c>
      <c r="O72" s="437"/>
      <c r="P72" s="437"/>
      <c r="Q72" s="434">
        <v>100000</v>
      </c>
      <c r="R72" s="434">
        <v>0</v>
      </c>
      <c r="S72" s="434">
        <f t="shared" si="6"/>
        <v>100000</v>
      </c>
      <c r="T72" s="437"/>
      <c r="U72" s="541"/>
      <c r="V72" s="541"/>
      <c r="W72" s="621">
        <v>0</v>
      </c>
      <c r="X72" s="615">
        <f t="shared" si="7"/>
        <v>0</v>
      </c>
      <c r="Y72" s="815" t="e">
        <f>F72-W72-#REF!</f>
        <v>#REF!</v>
      </c>
      <c r="Z72" s="626"/>
      <c r="AA72" s="632" t="e">
        <f>#REF!-#REF!</f>
        <v>#REF!</v>
      </c>
      <c r="AB72" s="632"/>
      <c r="AC72" s="522" t="s">
        <v>345</v>
      </c>
      <c r="AD72" s="201"/>
      <c r="AE72" s="201"/>
      <c r="AF72" s="201"/>
      <c r="AG72" s="311" t="e">
        <f>X72+Z72+#REF!</f>
        <v>#REF!</v>
      </c>
      <c r="AH72" s="486"/>
    </row>
    <row r="73" spans="1:35" s="222" customFormat="1" ht="168.75" hidden="1" x14ac:dyDescent="0.2">
      <c r="A73" s="343">
        <v>9</v>
      </c>
      <c r="B73" s="344" t="s">
        <v>290</v>
      </c>
      <c r="C73" s="344" t="s">
        <v>334</v>
      </c>
      <c r="D73" s="453">
        <v>242500</v>
      </c>
      <c r="E73" s="453">
        <v>0</v>
      </c>
      <c r="F73" s="453">
        <f t="shared" si="5"/>
        <v>242500</v>
      </c>
      <c r="G73" s="454">
        <v>5</v>
      </c>
      <c r="H73" s="454">
        <v>6</v>
      </c>
      <c r="I73" s="454"/>
      <c r="J73" s="454"/>
      <c r="K73" s="454">
        <v>1</v>
      </c>
      <c r="L73" s="454"/>
      <c r="M73" s="455" t="s">
        <v>185</v>
      </c>
      <c r="N73" s="453">
        <v>0</v>
      </c>
      <c r="O73" s="437"/>
      <c r="P73" s="437"/>
      <c r="Q73" s="453">
        <v>242500</v>
      </c>
      <c r="R73" s="453">
        <v>0</v>
      </c>
      <c r="S73" s="453">
        <f t="shared" si="6"/>
        <v>242500</v>
      </c>
      <c r="T73" s="437"/>
      <c r="U73" s="541"/>
      <c r="V73" s="541"/>
      <c r="W73" s="621">
        <v>0</v>
      </c>
      <c r="X73" s="615">
        <f t="shared" si="7"/>
        <v>0</v>
      </c>
      <c r="Y73" s="815" t="e">
        <f>F73-W73-#REF!</f>
        <v>#REF!</v>
      </c>
      <c r="Z73" s="626"/>
      <c r="AA73" s="632" t="e">
        <f>#REF!-#REF!</f>
        <v>#REF!</v>
      </c>
      <c r="AB73" s="632"/>
      <c r="AC73" s="525" t="s">
        <v>346</v>
      </c>
      <c r="AD73" s="220"/>
      <c r="AE73" s="220"/>
      <c r="AF73" s="220"/>
      <c r="AG73" s="311" t="e">
        <f>X73+Z73+#REF!</f>
        <v>#REF!</v>
      </c>
      <c r="AH73" s="490"/>
    </row>
    <row r="74" spans="1:35" s="222" customFormat="1" ht="45" hidden="1" customHeight="1" x14ac:dyDescent="0.2">
      <c r="A74" s="343">
        <v>10</v>
      </c>
      <c r="B74" s="344" t="s">
        <v>291</v>
      </c>
      <c r="C74" s="344" t="s">
        <v>334</v>
      </c>
      <c r="D74" s="453">
        <v>1873000</v>
      </c>
      <c r="E74" s="453">
        <v>0</v>
      </c>
      <c r="F74" s="453">
        <f t="shared" si="5"/>
        <v>1873000</v>
      </c>
      <c r="G74" s="454">
        <v>11</v>
      </c>
      <c r="H74" s="454">
        <v>7</v>
      </c>
      <c r="I74" s="454"/>
      <c r="J74" s="454"/>
      <c r="K74" s="454">
        <v>2</v>
      </c>
      <c r="L74" s="454"/>
      <c r="M74" s="455" t="s">
        <v>185</v>
      </c>
      <c r="N74" s="453">
        <v>0</v>
      </c>
      <c r="O74" s="437"/>
      <c r="P74" s="437"/>
      <c r="Q74" s="453">
        <v>1873000</v>
      </c>
      <c r="R74" s="453">
        <v>0</v>
      </c>
      <c r="S74" s="453">
        <f t="shared" si="6"/>
        <v>1873000</v>
      </c>
      <c r="T74" s="437"/>
      <c r="U74" s="541"/>
      <c r="V74" s="541"/>
      <c r="W74" s="621">
        <v>0</v>
      </c>
      <c r="X74" s="615">
        <f t="shared" si="7"/>
        <v>0</v>
      </c>
      <c r="Y74" s="815" t="e">
        <f>F74-W74-#REF!</f>
        <v>#REF!</v>
      </c>
      <c r="Z74" s="626"/>
      <c r="AA74" s="632" t="e">
        <f>#REF!-#REF!</f>
        <v>#REF!</v>
      </c>
      <c r="AB74" s="632"/>
      <c r="AC74" s="525" t="s">
        <v>347</v>
      </c>
      <c r="AD74" s="220"/>
      <c r="AE74" s="220"/>
      <c r="AF74" s="220"/>
      <c r="AG74" s="311" t="e">
        <f>X74+Z74+#REF!</f>
        <v>#REF!</v>
      </c>
      <c r="AH74" s="490"/>
    </row>
    <row r="75" spans="1:35" s="222" customFormat="1" ht="135" hidden="1" x14ac:dyDescent="0.2">
      <c r="A75" s="343">
        <v>11</v>
      </c>
      <c r="B75" s="344" t="s">
        <v>292</v>
      </c>
      <c r="C75" s="344" t="s">
        <v>334</v>
      </c>
      <c r="D75" s="453">
        <v>27600</v>
      </c>
      <c r="E75" s="453">
        <v>0</v>
      </c>
      <c r="F75" s="453">
        <f t="shared" si="5"/>
        <v>27600</v>
      </c>
      <c r="G75" s="454">
        <v>11</v>
      </c>
      <c r="H75" s="454">
        <v>5</v>
      </c>
      <c r="I75" s="454"/>
      <c r="J75" s="454"/>
      <c r="K75" s="454">
        <v>2</v>
      </c>
      <c r="L75" s="454"/>
      <c r="M75" s="455" t="s">
        <v>185</v>
      </c>
      <c r="N75" s="453">
        <v>0</v>
      </c>
      <c r="O75" s="437"/>
      <c r="P75" s="437"/>
      <c r="Q75" s="453">
        <v>27600</v>
      </c>
      <c r="R75" s="453">
        <v>0</v>
      </c>
      <c r="S75" s="453">
        <f t="shared" si="6"/>
        <v>27600</v>
      </c>
      <c r="T75" s="437"/>
      <c r="U75" s="541"/>
      <c r="V75" s="541"/>
      <c r="W75" s="621">
        <v>0</v>
      </c>
      <c r="X75" s="615">
        <f t="shared" si="7"/>
        <v>0</v>
      </c>
      <c r="Y75" s="815" t="e">
        <f>F75-W75-#REF!</f>
        <v>#REF!</v>
      </c>
      <c r="Z75" s="626"/>
      <c r="AA75" s="632" t="e">
        <f>#REF!-#REF!</f>
        <v>#REF!</v>
      </c>
      <c r="AB75" s="632"/>
      <c r="AC75" s="525" t="s">
        <v>348</v>
      </c>
      <c r="AD75" s="220"/>
      <c r="AE75" s="220"/>
      <c r="AF75" s="220"/>
      <c r="AG75" s="311" t="e">
        <f>X75+Z75+#REF!</f>
        <v>#REF!</v>
      </c>
      <c r="AH75" s="490"/>
    </row>
    <row r="76" spans="1:35" s="349" customFormat="1" ht="51.75" hidden="1" customHeight="1" x14ac:dyDescent="0.2">
      <c r="A76" s="345">
        <v>12</v>
      </c>
      <c r="B76" s="346" t="s">
        <v>293</v>
      </c>
      <c r="C76" s="346" t="s">
        <v>334</v>
      </c>
      <c r="D76" s="456">
        <v>20400</v>
      </c>
      <c r="E76" s="456">
        <v>0</v>
      </c>
      <c r="F76" s="456">
        <f t="shared" si="5"/>
        <v>20400</v>
      </c>
      <c r="G76" s="457">
        <v>11</v>
      </c>
      <c r="H76" s="457">
        <v>12</v>
      </c>
      <c r="I76" s="457"/>
      <c r="J76" s="457"/>
      <c r="K76" s="457">
        <v>2</v>
      </c>
      <c r="L76" s="457"/>
      <c r="M76" s="458" t="s">
        <v>185</v>
      </c>
      <c r="N76" s="456">
        <v>20400</v>
      </c>
      <c r="O76" s="452"/>
      <c r="P76" s="452"/>
      <c r="Q76" s="456">
        <v>20400</v>
      </c>
      <c r="R76" s="456">
        <v>0</v>
      </c>
      <c r="S76" s="456">
        <f t="shared" si="6"/>
        <v>20400</v>
      </c>
      <c r="T76" s="452"/>
      <c r="U76" s="543"/>
      <c r="V76" s="543"/>
      <c r="W76" s="623">
        <v>20400</v>
      </c>
      <c r="X76" s="615">
        <f t="shared" si="7"/>
        <v>100</v>
      </c>
      <c r="Y76" s="815" t="e">
        <f>F76-W76-#REF!</f>
        <v>#REF!</v>
      </c>
      <c r="Z76" s="629"/>
      <c r="AA76" s="632" t="e">
        <f>#REF!-#REF!</f>
        <v>#REF!</v>
      </c>
      <c r="AB76" s="632"/>
      <c r="AC76" s="525" t="s">
        <v>349</v>
      </c>
      <c r="AD76" s="347"/>
      <c r="AE76" s="348">
        <v>20400</v>
      </c>
      <c r="AF76" s="348" t="s">
        <v>406</v>
      </c>
      <c r="AG76" s="311" t="e">
        <f>X76+Z76+#REF!</f>
        <v>#REF!</v>
      </c>
      <c r="AH76" s="491"/>
    </row>
    <row r="77" spans="1:35" s="222" customFormat="1" ht="54" hidden="1" customHeight="1" x14ac:dyDescent="0.2">
      <c r="A77" s="343">
        <v>13</v>
      </c>
      <c r="B77" s="344" t="s">
        <v>335</v>
      </c>
      <c r="C77" s="344" t="s">
        <v>334</v>
      </c>
      <c r="D77" s="453">
        <v>171800</v>
      </c>
      <c r="E77" s="453">
        <v>0</v>
      </c>
      <c r="F77" s="453">
        <f t="shared" si="5"/>
        <v>171800</v>
      </c>
      <c r="G77" s="454">
        <v>11</v>
      </c>
      <c r="H77" s="454">
        <v>1</v>
      </c>
      <c r="I77" s="454"/>
      <c r="J77" s="454"/>
      <c r="K77" s="454">
        <v>2</v>
      </c>
      <c r="L77" s="454"/>
      <c r="M77" s="455" t="s">
        <v>185</v>
      </c>
      <c r="N77" s="453">
        <v>0</v>
      </c>
      <c r="O77" s="437"/>
      <c r="P77" s="437"/>
      <c r="Q77" s="453">
        <v>171800</v>
      </c>
      <c r="R77" s="453">
        <v>0</v>
      </c>
      <c r="S77" s="453">
        <f t="shared" si="6"/>
        <v>171800</v>
      </c>
      <c r="T77" s="437"/>
      <c r="U77" s="541"/>
      <c r="V77" s="541"/>
      <c r="W77" s="621">
        <v>0</v>
      </c>
      <c r="X77" s="615">
        <f t="shared" si="7"/>
        <v>0</v>
      </c>
      <c r="Y77" s="815" t="e">
        <f>F77-W77-#REF!</f>
        <v>#REF!</v>
      </c>
      <c r="Z77" s="626"/>
      <c r="AA77" s="632" t="e">
        <f>#REF!-#REF!</f>
        <v>#REF!</v>
      </c>
      <c r="AB77" s="632"/>
      <c r="AC77" s="525" t="s">
        <v>350</v>
      </c>
      <c r="AD77" s="220"/>
      <c r="AE77" s="220"/>
      <c r="AF77" s="220"/>
      <c r="AG77" s="311" t="e">
        <f>X77+Z77+#REF!</f>
        <v>#REF!</v>
      </c>
      <c r="AH77" s="490"/>
    </row>
    <row r="78" spans="1:35" s="222" customFormat="1" ht="108.6" hidden="1" customHeight="1" x14ac:dyDescent="0.2">
      <c r="A78" s="343">
        <v>14</v>
      </c>
      <c r="B78" s="344" t="s">
        <v>336</v>
      </c>
      <c r="C78" s="344" t="s">
        <v>334</v>
      </c>
      <c r="D78" s="453">
        <v>119200</v>
      </c>
      <c r="E78" s="453">
        <v>0</v>
      </c>
      <c r="F78" s="453">
        <f t="shared" si="5"/>
        <v>119200</v>
      </c>
      <c r="G78" s="454">
        <v>11</v>
      </c>
      <c r="H78" s="454">
        <v>1</v>
      </c>
      <c r="I78" s="454"/>
      <c r="J78" s="454"/>
      <c r="K78" s="454">
        <v>2</v>
      </c>
      <c r="L78" s="454"/>
      <c r="M78" s="455" t="s">
        <v>185</v>
      </c>
      <c r="N78" s="453">
        <v>0</v>
      </c>
      <c r="O78" s="437"/>
      <c r="P78" s="437"/>
      <c r="Q78" s="453">
        <v>119200</v>
      </c>
      <c r="R78" s="453">
        <v>0</v>
      </c>
      <c r="S78" s="453">
        <f t="shared" si="6"/>
        <v>119200</v>
      </c>
      <c r="T78" s="437"/>
      <c r="U78" s="541"/>
      <c r="V78" s="541"/>
      <c r="W78" s="621">
        <v>0</v>
      </c>
      <c r="X78" s="615">
        <f t="shared" si="7"/>
        <v>0</v>
      </c>
      <c r="Y78" s="815" t="e">
        <f>F78-W78-#REF!</f>
        <v>#REF!</v>
      </c>
      <c r="Z78" s="626"/>
      <c r="AA78" s="632" t="e">
        <f>#REF!-#REF!</f>
        <v>#REF!</v>
      </c>
      <c r="AB78" s="632"/>
      <c r="AC78" s="525" t="s">
        <v>351</v>
      </c>
      <c r="AD78" s="220"/>
      <c r="AE78" s="220"/>
      <c r="AF78" s="220"/>
      <c r="AG78" s="311" t="e">
        <f>X78+Z78+#REF!</f>
        <v>#REF!</v>
      </c>
      <c r="AH78" s="490"/>
    </row>
    <row r="79" spans="1:35" s="354" customFormat="1" ht="104.25" customHeight="1" x14ac:dyDescent="0.2">
      <c r="A79" s="350"/>
      <c r="B79" s="351" t="s">
        <v>522</v>
      </c>
      <c r="C79" s="352"/>
      <c r="D79" s="459">
        <f>D80+D83+D85+D87+D89</f>
        <v>1288400</v>
      </c>
      <c r="E79" s="459">
        <f t="shared" ref="E79:M79" si="8">E80+E83+E85+E87+E89</f>
        <v>97870000</v>
      </c>
      <c r="F79" s="567">
        <f t="shared" si="8"/>
        <v>99158400</v>
      </c>
      <c r="G79" s="459">
        <f t="shared" si="8"/>
        <v>0</v>
      </c>
      <c r="H79" s="459">
        <f t="shared" si="8"/>
        <v>0</v>
      </c>
      <c r="I79" s="459">
        <f t="shared" si="8"/>
        <v>0</v>
      </c>
      <c r="J79" s="459">
        <f t="shared" si="8"/>
        <v>0</v>
      </c>
      <c r="K79" s="459">
        <f t="shared" si="8"/>
        <v>0</v>
      </c>
      <c r="L79" s="459">
        <f t="shared" si="8"/>
        <v>0</v>
      </c>
      <c r="M79" s="459">
        <f t="shared" si="8"/>
        <v>0</v>
      </c>
      <c r="N79" s="459">
        <v>57678080</v>
      </c>
      <c r="O79" s="459">
        <f>N79/F79*100</f>
        <v>58.167618678800793</v>
      </c>
      <c r="P79" s="459">
        <f>10352320+17327680+21581500+3808500+6067860+11520140+19676400+6213600</f>
        <v>96548000</v>
      </c>
      <c r="Q79" s="459">
        <v>2100400</v>
      </c>
      <c r="R79" s="459">
        <v>96548000</v>
      </c>
      <c r="S79" s="567">
        <f>Q79+R79</f>
        <v>98648400</v>
      </c>
      <c r="T79" s="459">
        <v>1600400</v>
      </c>
      <c r="U79" s="537">
        <f>W79+37304320</f>
        <v>98648400</v>
      </c>
      <c r="V79" s="537">
        <f>U79/S79*100</f>
        <v>100</v>
      </c>
      <c r="W79" s="918">
        <v>61344080</v>
      </c>
      <c r="X79" s="615">
        <f>W79/S79*100</f>
        <v>62.184566602195268</v>
      </c>
      <c r="Y79" s="815">
        <f>S79-W79-AA79</f>
        <v>37304320</v>
      </c>
      <c r="Z79" s="624">
        <f>Y79/F79*100</f>
        <v>37.620937812631105</v>
      </c>
      <c r="AA79" s="632">
        <v>0</v>
      </c>
      <c r="AB79" s="632">
        <f>AA79/S79*100</f>
        <v>0</v>
      </c>
      <c r="AC79" s="878">
        <f>W79+Y79+AA79</f>
        <v>98648400</v>
      </c>
      <c r="AD79" s="353"/>
      <c r="AE79" s="353"/>
      <c r="AF79" s="353"/>
      <c r="AG79" s="311" t="e">
        <f>X79+Z79+#REF!</f>
        <v>#REF!</v>
      </c>
      <c r="AH79" s="492">
        <v>11558784</v>
      </c>
      <c r="AI79" s="500">
        <f>W79-AH79</f>
        <v>49785296</v>
      </c>
    </row>
    <row r="80" spans="1:35" s="221" customFormat="1" ht="61.5" hidden="1" customHeight="1" x14ac:dyDescent="0.6">
      <c r="A80" s="355">
        <v>15</v>
      </c>
      <c r="B80" s="356" t="s">
        <v>295</v>
      </c>
      <c r="C80" s="356" t="s">
        <v>296</v>
      </c>
      <c r="D80" s="357">
        <f>SUM(D81:D82)</f>
        <v>1288400</v>
      </c>
      <c r="E80" s="357">
        <f>SUM(E81:E82)</f>
        <v>0</v>
      </c>
      <c r="F80" s="357">
        <f>SUM(F81:F82)</f>
        <v>1288400</v>
      </c>
      <c r="G80" s="358"/>
      <c r="H80" s="358"/>
      <c r="I80" s="358"/>
      <c r="J80" s="358"/>
      <c r="K80" s="358"/>
      <c r="L80" s="358"/>
      <c r="M80" s="359"/>
      <c r="N80" s="357">
        <f>SUM(N81:N82)</f>
        <v>176600</v>
      </c>
      <c r="O80" s="357"/>
      <c r="P80" s="357"/>
      <c r="Q80" s="357">
        <f>SUM(Q81:Q82)</f>
        <v>1288400</v>
      </c>
      <c r="R80" s="357">
        <f>SUM(R81:R82)</f>
        <v>0</v>
      </c>
      <c r="S80" s="357">
        <f>SUM(S81:S82)</f>
        <v>1288400</v>
      </c>
      <c r="T80" s="357"/>
      <c r="U80" s="357"/>
      <c r="V80" s="357"/>
      <c r="W80" s="357">
        <f>SUM(W81:W82)</f>
        <v>176600</v>
      </c>
      <c r="X80" s="357"/>
      <c r="Y80" s="357">
        <f>SUM(Y81:Y82)</f>
        <v>1111800</v>
      </c>
      <c r="Z80" s="357"/>
      <c r="AA80" s="357"/>
      <c r="AB80" s="357"/>
      <c r="AC80" s="360"/>
      <c r="AD80" s="206"/>
      <c r="AE80" s="206"/>
      <c r="AF80" s="206"/>
    </row>
    <row r="81" spans="1:32" s="221" customFormat="1" ht="99" hidden="1" customHeight="1" x14ac:dyDescent="0.6">
      <c r="A81" s="219"/>
      <c r="B81" s="361" t="s">
        <v>294</v>
      </c>
      <c r="C81" s="361" t="s">
        <v>298</v>
      </c>
      <c r="D81" s="362">
        <v>496000</v>
      </c>
      <c r="E81" s="362">
        <v>0</v>
      </c>
      <c r="F81" s="362">
        <f>D81+E81</f>
        <v>496000</v>
      </c>
      <c r="G81" s="363">
        <v>2</v>
      </c>
      <c r="H81" s="363">
        <v>3</v>
      </c>
      <c r="I81" s="363"/>
      <c r="J81" s="363"/>
      <c r="K81" s="363">
        <v>2</v>
      </c>
      <c r="L81" s="363"/>
      <c r="M81" s="364" t="s">
        <v>185</v>
      </c>
      <c r="N81" s="362">
        <v>176600</v>
      </c>
      <c r="O81" s="362"/>
      <c r="P81" s="362"/>
      <c r="Q81" s="362">
        <v>496000</v>
      </c>
      <c r="R81" s="362">
        <v>0</v>
      </c>
      <c r="S81" s="362">
        <f>Q81+R81</f>
        <v>496000</v>
      </c>
      <c r="T81" s="362"/>
      <c r="U81" s="362"/>
      <c r="V81" s="362"/>
      <c r="W81" s="362">
        <v>176600</v>
      </c>
      <c r="X81" s="362"/>
      <c r="Y81" s="362">
        <f>F81-W81</f>
        <v>319400</v>
      </c>
      <c r="Z81" s="362"/>
      <c r="AA81" s="362"/>
      <c r="AB81" s="362"/>
      <c r="AC81" s="365" t="s">
        <v>394</v>
      </c>
      <c r="AD81" s="223"/>
      <c r="AE81" s="223"/>
      <c r="AF81" s="223"/>
    </row>
    <row r="82" spans="1:32" s="221" customFormat="1" ht="93.75" hidden="1" customHeight="1" x14ac:dyDescent="0.6">
      <c r="A82" s="219"/>
      <c r="B82" s="361" t="s">
        <v>297</v>
      </c>
      <c r="C82" s="361" t="s">
        <v>296</v>
      </c>
      <c r="D82" s="362">
        <v>792400</v>
      </c>
      <c r="E82" s="362">
        <v>0</v>
      </c>
      <c r="F82" s="362">
        <f>D82+E82</f>
        <v>792400</v>
      </c>
      <c r="G82" s="363">
        <v>1</v>
      </c>
      <c r="H82" s="363">
        <v>5</v>
      </c>
      <c r="I82" s="363"/>
      <c r="J82" s="363"/>
      <c r="K82" s="363">
        <v>2</v>
      </c>
      <c r="L82" s="363"/>
      <c r="M82" s="364" t="s">
        <v>185</v>
      </c>
      <c r="N82" s="362">
        <v>0</v>
      </c>
      <c r="O82" s="362"/>
      <c r="P82" s="362"/>
      <c r="Q82" s="362">
        <v>792400</v>
      </c>
      <c r="R82" s="362">
        <v>0</v>
      </c>
      <c r="S82" s="362">
        <f>Q82+R82</f>
        <v>792400</v>
      </c>
      <c r="T82" s="362"/>
      <c r="U82" s="362"/>
      <c r="V82" s="362"/>
      <c r="W82" s="362">
        <v>0</v>
      </c>
      <c r="X82" s="362"/>
      <c r="Y82" s="362">
        <v>792400</v>
      </c>
      <c r="Z82" s="362"/>
      <c r="AA82" s="362"/>
      <c r="AB82" s="362"/>
      <c r="AC82" s="365" t="s">
        <v>337</v>
      </c>
      <c r="AD82" s="223"/>
      <c r="AE82" s="223"/>
      <c r="AF82" s="223"/>
    </row>
    <row r="83" spans="1:32" s="221" customFormat="1" ht="168.75" hidden="1" x14ac:dyDescent="0.6">
      <c r="A83" s="205">
        <v>16</v>
      </c>
      <c r="B83" s="366" t="s">
        <v>299</v>
      </c>
      <c r="C83" s="366" t="s">
        <v>300</v>
      </c>
      <c r="D83" s="367">
        <f>SUM(D84:D84)</f>
        <v>0</v>
      </c>
      <c r="E83" s="367">
        <f>SUM(E84:E84)</f>
        <v>27870000</v>
      </c>
      <c r="F83" s="367">
        <f>SUM(F84:F84)</f>
        <v>27870000</v>
      </c>
      <c r="G83" s="368"/>
      <c r="H83" s="368"/>
      <c r="I83" s="368"/>
      <c r="J83" s="368"/>
      <c r="K83" s="368"/>
      <c r="L83" s="368"/>
      <c r="M83" s="369"/>
      <c r="N83" s="367">
        <f>SUM(N84:N84)</f>
        <v>0</v>
      </c>
      <c r="O83" s="367"/>
      <c r="P83" s="367"/>
      <c r="Q83" s="367">
        <f>SUM(Q84:Q84)</f>
        <v>0</v>
      </c>
      <c r="R83" s="367">
        <f>SUM(R84:R84)</f>
        <v>27870000</v>
      </c>
      <c r="S83" s="367">
        <f>SUM(S84:S84)</f>
        <v>27870000</v>
      </c>
      <c r="T83" s="367"/>
      <c r="U83" s="367"/>
      <c r="V83" s="367"/>
      <c r="W83" s="367">
        <f>SUM(W84:W84)</f>
        <v>0</v>
      </c>
      <c r="X83" s="367"/>
      <c r="Y83" s="367">
        <f>SUM(Y84:Y84)</f>
        <v>27870000</v>
      </c>
      <c r="Z83" s="367"/>
      <c r="AA83" s="367"/>
      <c r="AB83" s="367"/>
      <c r="AC83" s="370"/>
      <c r="AD83" s="206"/>
      <c r="AE83" s="206"/>
      <c r="AF83" s="206"/>
    </row>
    <row r="84" spans="1:32" s="221" customFormat="1" ht="168.75" hidden="1" x14ac:dyDescent="0.6">
      <c r="A84" s="219"/>
      <c r="B84" s="361" t="s">
        <v>388</v>
      </c>
      <c r="C84" s="361"/>
      <c r="D84" s="362"/>
      <c r="E84" s="362">
        <v>27870000</v>
      </c>
      <c r="F84" s="362">
        <f>D84+E84</f>
        <v>27870000</v>
      </c>
      <c r="G84" s="363"/>
      <c r="H84" s="363"/>
      <c r="I84" s="363">
        <v>12</v>
      </c>
      <c r="J84" s="363">
        <v>9</v>
      </c>
      <c r="K84" s="363"/>
      <c r="L84" s="363">
        <v>5</v>
      </c>
      <c r="M84" s="364" t="s">
        <v>185</v>
      </c>
      <c r="N84" s="362">
        <v>0</v>
      </c>
      <c r="O84" s="362"/>
      <c r="P84" s="362"/>
      <c r="Q84" s="362"/>
      <c r="R84" s="362">
        <v>27870000</v>
      </c>
      <c r="S84" s="362">
        <f>Q84+R84</f>
        <v>27870000</v>
      </c>
      <c r="T84" s="362"/>
      <c r="U84" s="362"/>
      <c r="V84" s="362"/>
      <c r="W84" s="362">
        <v>0</v>
      </c>
      <c r="X84" s="362"/>
      <c r="Y84" s="362">
        <v>27870000</v>
      </c>
      <c r="Z84" s="362"/>
      <c r="AA84" s="362"/>
      <c r="AB84" s="362"/>
      <c r="AC84" s="365" t="s">
        <v>353</v>
      </c>
      <c r="AD84" s="223"/>
      <c r="AE84" s="223"/>
      <c r="AF84" s="223"/>
    </row>
    <row r="85" spans="1:32" s="221" customFormat="1" ht="135" hidden="1" x14ac:dyDescent="0.6">
      <c r="A85" s="205">
        <v>17</v>
      </c>
      <c r="B85" s="366" t="s">
        <v>301</v>
      </c>
      <c r="C85" s="366" t="s">
        <v>300</v>
      </c>
      <c r="D85" s="367">
        <f>SUM(D86:D86)</f>
        <v>0</v>
      </c>
      <c r="E85" s="367">
        <f>SUM(E86:E86)</f>
        <v>26400000</v>
      </c>
      <c r="F85" s="367">
        <f>SUM(F86:F86)</f>
        <v>26400000</v>
      </c>
      <c r="G85" s="368"/>
      <c r="H85" s="368"/>
      <c r="I85" s="368"/>
      <c r="J85" s="368"/>
      <c r="K85" s="368"/>
      <c r="L85" s="368"/>
      <c r="M85" s="369"/>
      <c r="N85" s="367">
        <f>SUM(N86:N86)</f>
        <v>0</v>
      </c>
      <c r="O85" s="367"/>
      <c r="P85" s="367"/>
      <c r="Q85" s="367">
        <f>SUM(Q86:Q86)</f>
        <v>0</v>
      </c>
      <c r="R85" s="367">
        <f>SUM(R86:R86)</f>
        <v>26400000</v>
      </c>
      <c r="S85" s="367">
        <f>SUM(S86:S86)</f>
        <v>26400000</v>
      </c>
      <c r="T85" s="367"/>
      <c r="U85" s="367"/>
      <c r="V85" s="367"/>
      <c r="W85" s="367">
        <f>SUM(W86:W86)</f>
        <v>0</v>
      </c>
      <c r="X85" s="367"/>
      <c r="Y85" s="367">
        <f>SUM(Y86:Y86)</f>
        <v>26400000</v>
      </c>
      <c r="Z85" s="367"/>
      <c r="AA85" s="367"/>
      <c r="AB85" s="367"/>
      <c r="AC85" s="370"/>
      <c r="AD85" s="206"/>
      <c r="AE85" s="206"/>
      <c r="AF85" s="206"/>
    </row>
    <row r="86" spans="1:32" s="221" customFormat="1" ht="50.25" hidden="1" customHeight="1" x14ac:dyDescent="0.6">
      <c r="A86" s="219"/>
      <c r="B86" s="361" t="s">
        <v>405</v>
      </c>
      <c r="C86" s="361"/>
      <c r="D86" s="362"/>
      <c r="E86" s="362">
        <v>26400000</v>
      </c>
      <c r="F86" s="362">
        <f>D86+E86</f>
        <v>26400000</v>
      </c>
      <c r="G86" s="363"/>
      <c r="H86" s="363"/>
      <c r="I86" s="363">
        <v>12</v>
      </c>
      <c r="J86" s="363">
        <v>9</v>
      </c>
      <c r="K86" s="363"/>
      <c r="L86" s="363">
        <v>5</v>
      </c>
      <c r="M86" s="364" t="s">
        <v>185</v>
      </c>
      <c r="N86" s="362">
        <v>0</v>
      </c>
      <c r="O86" s="362"/>
      <c r="P86" s="362"/>
      <c r="Q86" s="362"/>
      <c r="R86" s="362">
        <v>26400000</v>
      </c>
      <c r="S86" s="362">
        <f>Q86+R86</f>
        <v>26400000</v>
      </c>
      <c r="T86" s="362"/>
      <c r="U86" s="362"/>
      <c r="V86" s="362"/>
      <c r="W86" s="362">
        <v>0</v>
      </c>
      <c r="X86" s="362"/>
      <c r="Y86" s="362">
        <v>26400000</v>
      </c>
      <c r="Z86" s="362"/>
      <c r="AA86" s="362"/>
      <c r="AB86" s="362"/>
      <c r="AC86" s="365" t="s">
        <v>354</v>
      </c>
      <c r="AD86" s="223"/>
      <c r="AE86" s="223"/>
      <c r="AF86" s="223"/>
    </row>
    <row r="87" spans="1:32" s="221" customFormat="1" ht="168.75" hidden="1" x14ac:dyDescent="0.6">
      <c r="A87" s="205">
        <v>18</v>
      </c>
      <c r="B87" s="366" t="s">
        <v>302</v>
      </c>
      <c r="C87" s="366" t="s">
        <v>300</v>
      </c>
      <c r="D87" s="367">
        <f>SUM(D88:D88)</f>
        <v>0</v>
      </c>
      <c r="E87" s="367">
        <f>E88</f>
        <v>17610000</v>
      </c>
      <c r="F87" s="367">
        <f>F88</f>
        <v>17610000</v>
      </c>
      <c r="G87" s="368"/>
      <c r="H87" s="368"/>
      <c r="I87" s="368"/>
      <c r="J87" s="368"/>
      <c r="K87" s="368"/>
      <c r="L87" s="368"/>
      <c r="M87" s="369"/>
      <c r="N87" s="367">
        <f>SUM(N88:N90)</f>
        <v>0</v>
      </c>
      <c r="O87" s="367"/>
      <c r="P87" s="367"/>
      <c r="Q87" s="367">
        <f>SUM(Q88:Q88)</f>
        <v>0</v>
      </c>
      <c r="R87" s="367">
        <f>R88</f>
        <v>17610000</v>
      </c>
      <c r="S87" s="367">
        <f>S88</f>
        <v>17610000</v>
      </c>
      <c r="T87" s="367"/>
      <c r="U87" s="367"/>
      <c r="V87" s="367"/>
      <c r="W87" s="367">
        <f>SUM(W88:W90)</f>
        <v>0</v>
      </c>
      <c r="X87" s="367"/>
      <c r="Y87" s="367">
        <v>17610000</v>
      </c>
      <c r="Z87" s="367"/>
      <c r="AA87" s="367"/>
      <c r="AB87" s="367"/>
      <c r="AC87" s="370"/>
      <c r="AD87" s="206"/>
      <c r="AE87" s="206"/>
      <c r="AF87" s="206"/>
    </row>
    <row r="88" spans="1:32" s="221" customFormat="1" ht="135" hidden="1" x14ac:dyDescent="0.6">
      <c r="A88" s="219"/>
      <c r="B88" s="361" t="s">
        <v>303</v>
      </c>
      <c r="C88" s="361"/>
      <c r="D88" s="362"/>
      <c r="E88" s="362">
        <v>17610000</v>
      </c>
      <c r="F88" s="362">
        <f>D88+E88</f>
        <v>17610000</v>
      </c>
      <c r="G88" s="363"/>
      <c r="H88" s="363"/>
      <c r="I88" s="363">
        <v>12</v>
      </c>
      <c r="J88" s="363">
        <v>9</v>
      </c>
      <c r="K88" s="363"/>
      <c r="L88" s="363">
        <v>5</v>
      </c>
      <c r="M88" s="364" t="s">
        <v>185</v>
      </c>
      <c r="N88" s="362">
        <v>0</v>
      </c>
      <c r="O88" s="362"/>
      <c r="P88" s="362"/>
      <c r="Q88" s="362"/>
      <c r="R88" s="362">
        <v>17610000</v>
      </c>
      <c r="S88" s="362">
        <f>Q88+R88</f>
        <v>17610000</v>
      </c>
      <c r="T88" s="362"/>
      <c r="U88" s="362"/>
      <c r="V88" s="362"/>
      <c r="W88" s="362">
        <v>0</v>
      </c>
      <c r="X88" s="362"/>
      <c r="Y88" s="362">
        <v>17610000</v>
      </c>
      <c r="Z88" s="362"/>
      <c r="AA88" s="362"/>
      <c r="AB88" s="362"/>
      <c r="AC88" s="365" t="s">
        <v>355</v>
      </c>
      <c r="AD88" s="223"/>
      <c r="AE88" s="223"/>
      <c r="AF88" s="223"/>
    </row>
    <row r="89" spans="1:32" s="221" customFormat="1" ht="168.75" hidden="1" x14ac:dyDescent="0.6">
      <c r="A89" s="205">
        <v>19</v>
      </c>
      <c r="B89" s="366" t="s">
        <v>304</v>
      </c>
      <c r="C89" s="366" t="s">
        <v>300</v>
      </c>
      <c r="D89" s="367">
        <f>SUM(D90:D90)</f>
        <v>0</v>
      </c>
      <c r="E89" s="367">
        <v>25990000</v>
      </c>
      <c r="F89" s="367">
        <f>F90</f>
        <v>25990000</v>
      </c>
      <c r="G89" s="368"/>
      <c r="H89" s="368"/>
      <c r="I89" s="368"/>
      <c r="J89" s="368"/>
      <c r="K89" s="368"/>
      <c r="L89" s="368"/>
      <c r="M89" s="369"/>
      <c r="N89" s="367">
        <f>SUM(N90:N93)</f>
        <v>0</v>
      </c>
      <c r="O89" s="367"/>
      <c r="P89" s="367"/>
      <c r="Q89" s="367">
        <f>SUM(Q90:Q90)</f>
        <v>0</v>
      </c>
      <c r="R89" s="367">
        <v>25990000</v>
      </c>
      <c r="S89" s="367">
        <f>S90</f>
        <v>25990000</v>
      </c>
      <c r="T89" s="367"/>
      <c r="U89" s="367"/>
      <c r="V89" s="367"/>
      <c r="W89" s="367">
        <f>SUM(W90:W93)</f>
        <v>0</v>
      </c>
      <c r="X89" s="367"/>
      <c r="Y89" s="367">
        <f>SUM(Y90:Y93)</f>
        <v>25990000</v>
      </c>
      <c r="Z89" s="367"/>
      <c r="AA89" s="367"/>
      <c r="AB89" s="367"/>
      <c r="AC89" s="370"/>
      <c r="AD89" s="206"/>
      <c r="AE89" s="206"/>
      <c r="AF89" s="206"/>
    </row>
    <row r="90" spans="1:32" s="225" customFormat="1" ht="78" hidden="1" customHeight="1" x14ac:dyDescent="0.55000000000000004">
      <c r="A90" s="371"/>
      <c r="B90" s="361" t="s">
        <v>389</v>
      </c>
      <c r="C90" s="361"/>
      <c r="D90" s="362"/>
      <c r="E90" s="362">
        <v>25990000</v>
      </c>
      <c r="F90" s="362">
        <f>D90+E90</f>
        <v>25990000</v>
      </c>
      <c r="G90" s="363"/>
      <c r="H90" s="363"/>
      <c r="I90" s="363">
        <v>12</v>
      </c>
      <c r="J90" s="363">
        <v>9</v>
      </c>
      <c r="K90" s="363"/>
      <c r="L90" s="363">
        <v>5</v>
      </c>
      <c r="M90" s="364" t="s">
        <v>185</v>
      </c>
      <c r="N90" s="362">
        <v>0</v>
      </c>
      <c r="O90" s="362"/>
      <c r="P90" s="362"/>
      <c r="Q90" s="362"/>
      <c r="R90" s="362">
        <v>25990000</v>
      </c>
      <c r="S90" s="362">
        <f>Q90+R90</f>
        <v>25990000</v>
      </c>
      <c r="T90" s="362"/>
      <c r="U90" s="362"/>
      <c r="V90" s="362"/>
      <c r="W90" s="362">
        <v>0</v>
      </c>
      <c r="X90" s="362"/>
      <c r="Y90" s="362">
        <v>25990000</v>
      </c>
      <c r="Z90" s="362"/>
      <c r="AA90" s="362"/>
      <c r="AB90" s="362"/>
      <c r="AC90" s="365" t="s">
        <v>356</v>
      </c>
      <c r="AD90" s="224"/>
      <c r="AE90" s="224"/>
      <c r="AF90" s="224"/>
    </row>
    <row r="91" spans="1:32" s="197" customFormat="1" ht="33.75" hidden="1" x14ac:dyDescent="0.6">
      <c r="A91" s="372"/>
      <c r="B91" s="373" t="s">
        <v>29</v>
      </c>
      <c r="C91" s="374"/>
      <c r="D91" s="375">
        <f>D8+D32+D58+D79</f>
        <v>37210000</v>
      </c>
      <c r="E91" s="375">
        <f>E8+E32+E58+E79</f>
        <v>182716100</v>
      </c>
      <c r="F91" s="375">
        <f>F8+F32+F58+F79</f>
        <v>219926100</v>
      </c>
      <c r="G91" s="376"/>
      <c r="H91" s="376"/>
      <c r="I91" s="376"/>
      <c r="J91" s="376"/>
      <c r="K91" s="376"/>
      <c r="L91" s="376"/>
      <c r="M91" s="377"/>
      <c r="N91" s="378"/>
      <c r="O91" s="378"/>
      <c r="P91" s="378"/>
      <c r="Q91" s="375">
        <f>Q8+Q32+Q58+Q79</f>
        <v>38563000</v>
      </c>
      <c r="R91" s="375">
        <f>R8+R32+R58+R79</f>
        <v>181363100</v>
      </c>
      <c r="S91" s="375">
        <f>S8+S32+S58+S79</f>
        <v>219926100</v>
      </c>
      <c r="T91" s="378"/>
      <c r="U91" s="378"/>
      <c r="V91" s="378"/>
      <c r="W91" s="378"/>
      <c r="X91" s="378"/>
      <c r="Y91" s="378"/>
      <c r="Z91" s="378"/>
      <c r="AA91" s="378"/>
      <c r="AB91" s="378"/>
      <c r="AC91" s="379"/>
      <c r="AD91" s="380"/>
      <c r="AE91" s="380"/>
      <c r="AF91" s="380"/>
    </row>
    <row r="92" spans="1:32" ht="18.95" hidden="1" customHeight="1" x14ac:dyDescent="0.8">
      <c r="A92" s="226"/>
      <c r="B92" s="381"/>
      <c r="C92" s="381"/>
      <c r="D92" s="382"/>
      <c r="E92" s="382"/>
      <c r="F92" s="382"/>
      <c r="G92" s="186"/>
      <c r="H92" s="383"/>
      <c r="I92" s="383"/>
      <c r="J92" s="383"/>
      <c r="K92" s="186"/>
      <c r="L92" s="186"/>
      <c r="M92" s="186"/>
      <c r="N92" s="186"/>
      <c r="O92" s="186"/>
      <c r="P92" s="186"/>
      <c r="Q92" s="382"/>
      <c r="R92" s="382"/>
      <c r="S92" s="382"/>
      <c r="T92" s="186"/>
      <c r="U92" s="186"/>
      <c r="V92" s="186"/>
      <c r="W92" s="186"/>
      <c r="X92" s="186"/>
      <c r="Y92" s="186"/>
      <c r="Z92" s="186"/>
      <c r="AA92" s="186"/>
      <c r="AB92" s="186"/>
      <c r="AC92" s="186"/>
    </row>
    <row r="93" spans="1:32" ht="35.25" hidden="1" customHeight="1" x14ac:dyDescent="0.8">
      <c r="A93" s="226"/>
      <c r="B93" s="1325" t="s">
        <v>206</v>
      </c>
      <c r="C93" s="1325"/>
      <c r="D93" s="1325"/>
      <c r="E93" s="1325"/>
      <c r="F93" s="1325"/>
      <c r="G93" s="1325"/>
      <c r="H93" s="1325"/>
      <c r="I93" s="1325"/>
      <c r="J93" s="1325"/>
      <c r="K93" s="1325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  <c r="AC93" s="186"/>
    </row>
    <row r="94" spans="1:32" ht="32.25" hidden="1" customHeight="1" x14ac:dyDescent="0.8">
      <c r="A94" s="226"/>
      <c r="B94" s="1326" t="s">
        <v>199</v>
      </c>
      <c r="C94" s="1328" t="s">
        <v>208</v>
      </c>
      <c r="D94" s="1329"/>
      <c r="E94" s="1328" t="s">
        <v>202</v>
      </c>
      <c r="F94" s="1330"/>
      <c r="G94" s="1329"/>
      <c r="H94" s="1325" t="s">
        <v>203</v>
      </c>
      <c r="I94" s="1325"/>
      <c r="J94" s="1325"/>
      <c r="K94" s="1325"/>
      <c r="L94" s="186"/>
      <c r="M94" s="186"/>
      <c r="N94" s="186"/>
      <c r="O94" s="186"/>
      <c r="P94" s="186"/>
      <c r="Q94" s="186"/>
      <c r="R94" s="186"/>
      <c r="S94" s="186"/>
      <c r="T94" s="186"/>
      <c r="U94" s="186"/>
      <c r="V94" s="186"/>
      <c r="W94" s="186"/>
      <c r="X94" s="186"/>
      <c r="Y94" s="186"/>
      <c r="Z94" s="186"/>
      <c r="AA94" s="186"/>
      <c r="AB94" s="186"/>
      <c r="AC94" s="186"/>
    </row>
    <row r="95" spans="1:32" ht="36" hidden="1" customHeight="1" x14ac:dyDescent="0.8">
      <c r="A95" s="226"/>
      <c r="B95" s="1327"/>
      <c r="C95" s="384" t="s">
        <v>200</v>
      </c>
      <c r="D95" s="384" t="s">
        <v>201</v>
      </c>
      <c r="E95" s="384" t="s">
        <v>200</v>
      </c>
      <c r="F95" s="1328" t="s">
        <v>201</v>
      </c>
      <c r="G95" s="1329"/>
      <c r="H95" s="1328" t="s">
        <v>200</v>
      </c>
      <c r="I95" s="1329"/>
      <c r="J95" s="1328" t="s">
        <v>201</v>
      </c>
      <c r="K95" s="1329"/>
      <c r="L95" s="186"/>
      <c r="M95" s="186"/>
      <c r="N95" s="186"/>
      <c r="O95" s="186"/>
      <c r="P95" s="186"/>
      <c r="Q95" s="384" t="s">
        <v>201</v>
      </c>
      <c r="R95" s="384" t="s">
        <v>200</v>
      </c>
      <c r="S95" s="186"/>
      <c r="T95" s="186"/>
      <c r="U95" s="186"/>
      <c r="V95" s="186"/>
      <c r="W95" s="186"/>
      <c r="X95" s="186"/>
      <c r="Y95" s="186"/>
      <c r="Z95" s="186"/>
      <c r="AA95" s="186"/>
      <c r="AB95" s="186"/>
      <c r="AC95" s="186"/>
    </row>
    <row r="96" spans="1:32" ht="31.5" hidden="1" customHeight="1" x14ac:dyDescent="0.8">
      <c r="A96" s="226"/>
      <c r="B96" s="385" t="s">
        <v>205</v>
      </c>
      <c r="C96" s="386">
        <v>10</v>
      </c>
      <c r="D96" s="387">
        <f>D98-D97</f>
        <v>37210000</v>
      </c>
      <c r="E96" s="386">
        <v>0</v>
      </c>
      <c r="F96" s="1316">
        <v>0</v>
      </c>
      <c r="G96" s="1317"/>
      <c r="H96" s="1318">
        <v>0</v>
      </c>
      <c r="I96" s="1319"/>
      <c r="J96" s="1316">
        <v>0</v>
      </c>
      <c r="K96" s="1317"/>
      <c r="L96" s="186"/>
      <c r="M96" s="186"/>
      <c r="N96" s="186"/>
      <c r="O96" s="186"/>
      <c r="P96" s="186"/>
      <c r="Q96" s="387">
        <f>Q98-Q97</f>
        <v>37210000</v>
      </c>
      <c r="R96" s="386">
        <v>0</v>
      </c>
      <c r="S96" s="186"/>
      <c r="T96" s="186"/>
      <c r="U96" s="186"/>
      <c r="V96" s="186"/>
      <c r="W96" s="186"/>
      <c r="X96" s="186"/>
      <c r="Y96" s="186"/>
      <c r="Z96" s="186"/>
      <c r="AA96" s="186"/>
      <c r="AB96" s="186"/>
      <c r="AC96" s="186"/>
    </row>
    <row r="97" spans="1:29" ht="35.25" hidden="1" customHeight="1" x14ac:dyDescent="0.8">
      <c r="A97" s="226"/>
      <c r="B97" s="385" t="s">
        <v>204</v>
      </c>
      <c r="C97" s="386">
        <v>9</v>
      </c>
      <c r="D97" s="387">
        <v>182716100</v>
      </c>
      <c r="E97" s="386">
        <v>0</v>
      </c>
      <c r="F97" s="1316">
        <v>0</v>
      </c>
      <c r="G97" s="1317"/>
      <c r="H97" s="1318">
        <v>0</v>
      </c>
      <c r="I97" s="1319"/>
      <c r="J97" s="1316">
        <v>0</v>
      </c>
      <c r="K97" s="1317"/>
      <c r="L97" s="186"/>
      <c r="M97" s="186"/>
      <c r="N97" s="186"/>
      <c r="O97" s="186"/>
      <c r="P97" s="186"/>
      <c r="Q97" s="387">
        <v>182716100</v>
      </c>
      <c r="R97" s="386">
        <v>0</v>
      </c>
      <c r="S97" s="186"/>
      <c r="T97" s="186"/>
      <c r="U97" s="186"/>
      <c r="V97" s="186"/>
      <c r="W97" s="186"/>
      <c r="X97" s="186"/>
      <c r="Y97" s="186"/>
      <c r="Z97" s="186"/>
      <c r="AA97" s="186"/>
      <c r="AB97" s="186"/>
      <c r="AC97" s="186"/>
    </row>
    <row r="98" spans="1:29" ht="33.75" hidden="1" customHeight="1" x14ac:dyDescent="0.8">
      <c r="A98" s="226"/>
      <c r="B98" s="384" t="s">
        <v>29</v>
      </c>
      <c r="C98" s="386">
        <v>19</v>
      </c>
      <c r="D98" s="388">
        <v>219926100</v>
      </c>
      <c r="E98" s="386">
        <v>0</v>
      </c>
      <c r="F98" s="1316">
        <v>0</v>
      </c>
      <c r="G98" s="1317"/>
      <c r="H98" s="1318">
        <v>0</v>
      </c>
      <c r="I98" s="1319"/>
      <c r="J98" s="1316">
        <v>0</v>
      </c>
      <c r="K98" s="1317"/>
      <c r="L98" s="186"/>
      <c r="M98" s="186"/>
      <c r="N98" s="186"/>
      <c r="O98" s="186"/>
      <c r="P98" s="186"/>
      <c r="Q98" s="388">
        <v>219926100</v>
      </c>
      <c r="R98" s="386">
        <v>0</v>
      </c>
      <c r="S98" s="186"/>
      <c r="T98" s="186"/>
      <c r="U98" s="186"/>
      <c r="V98" s="186"/>
      <c r="W98" s="186"/>
      <c r="X98" s="186"/>
      <c r="Y98" s="186"/>
      <c r="Z98" s="186"/>
      <c r="AA98" s="186"/>
      <c r="AB98" s="186"/>
      <c r="AC98" s="186"/>
    </row>
    <row r="99" spans="1:29" ht="18.95" hidden="1" customHeight="1" x14ac:dyDescent="0.8">
      <c r="A99" s="226"/>
      <c r="B99" s="389"/>
      <c r="C99" s="389"/>
      <c r="D99" s="382"/>
      <c r="E99" s="382"/>
      <c r="F99" s="382"/>
      <c r="G99" s="186"/>
      <c r="H99" s="383"/>
      <c r="I99" s="383"/>
      <c r="J99" s="383"/>
      <c r="K99" s="186"/>
      <c r="L99" s="186"/>
      <c r="M99" s="186"/>
      <c r="N99" s="186"/>
      <c r="O99" s="186"/>
      <c r="P99" s="186"/>
      <c r="Q99" s="382"/>
      <c r="R99" s="382"/>
      <c r="S99" s="382"/>
      <c r="T99" s="186"/>
      <c r="U99" s="186"/>
      <c r="V99" s="186"/>
      <c r="W99" s="186"/>
      <c r="X99" s="186"/>
      <c r="Y99" s="186"/>
      <c r="Z99" s="186"/>
      <c r="AA99" s="186"/>
      <c r="AB99" s="186"/>
      <c r="AC99" s="186"/>
    </row>
    <row r="100" spans="1:29" ht="33.75" hidden="1" customHeight="1" x14ac:dyDescent="0.8">
      <c r="A100" s="226"/>
      <c r="B100" s="389"/>
      <c r="C100" s="390">
        <f>F91-D98</f>
        <v>0</v>
      </c>
      <c r="D100" s="382"/>
      <c r="E100" s="382"/>
      <c r="F100" s="382"/>
      <c r="G100" s="186"/>
      <c r="H100" s="383"/>
      <c r="I100" s="383"/>
      <c r="J100" s="383"/>
      <c r="K100" s="186"/>
      <c r="L100" s="186"/>
      <c r="M100" s="186"/>
      <c r="N100" s="186"/>
      <c r="O100" s="186"/>
      <c r="P100" s="186"/>
      <c r="Q100" s="382"/>
      <c r="R100" s="382"/>
      <c r="S100" s="382"/>
      <c r="T100" s="186"/>
      <c r="U100" s="186"/>
      <c r="V100" s="186"/>
      <c r="W100" s="186"/>
      <c r="X100" s="186"/>
      <c r="Y100" s="186"/>
      <c r="Z100" s="186"/>
      <c r="AA100" s="186"/>
      <c r="AB100" s="186"/>
      <c r="AC100" s="186"/>
    </row>
    <row r="101" spans="1:29" ht="18.95" hidden="1" customHeight="1" x14ac:dyDescent="0.8">
      <c r="A101" s="226"/>
      <c r="B101" s="389"/>
      <c r="C101" s="389"/>
      <c r="D101" s="382"/>
      <c r="E101" s="382"/>
      <c r="F101" s="382"/>
      <c r="G101" s="186"/>
      <c r="H101" s="383"/>
      <c r="I101" s="383"/>
      <c r="J101" s="383"/>
      <c r="K101" s="186"/>
      <c r="L101" s="186"/>
      <c r="M101" s="186"/>
      <c r="N101" s="186"/>
      <c r="O101" s="186"/>
      <c r="P101" s="186"/>
      <c r="Q101" s="382"/>
      <c r="R101" s="382"/>
      <c r="S101" s="382"/>
      <c r="T101" s="186"/>
      <c r="U101" s="186"/>
      <c r="V101" s="186"/>
      <c r="W101" s="186"/>
      <c r="X101" s="186"/>
      <c r="Y101" s="186"/>
      <c r="Z101" s="186"/>
      <c r="AA101" s="186"/>
      <c r="AB101" s="186"/>
      <c r="AC101" s="186"/>
    </row>
    <row r="102" spans="1:29" ht="18.95" hidden="1" customHeight="1" x14ac:dyDescent="0.8">
      <c r="A102" s="226"/>
      <c r="B102" s="389"/>
      <c r="C102" s="389"/>
      <c r="D102" s="382"/>
      <c r="E102" s="382"/>
      <c r="F102" s="382"/>
      <c r="G102" s="186"/>
      <c r="H102" s="383"/>
      <c r="I102" s="383"/>
      <c r="J102" s="383"/>
      <c r="K102" s="186"/>
      <c r="L102" s="186"/>
      <c r="M102" s="186"/>
      <c r="N102" s="186"/>
      <c r="O102" s="186"/>
      <c r="P102" s="186"/>
      <c r="Q102" s="382"/>
      <c r="R102" s="382"/>
      <c r="S102" s="382"/>
      <c r="T102" s="186"/>
      <c r="U102" s="186"/>
      <c r="V102" s="186"/>
      <c r="W102" s="186"/>
      <c r="X102" s="186"/>
      <c r="Y102" s="186"/>
      <c r="Z102" s="186"/>
      <c r="AA102" s="186"/>
      <c r="AB102" s="186"/>
      <c r="AC102" s="186"/>
    </row>
    <row r="103" spans="1:29" ht="18.95" hidden="1" customHeight="1" x14ac:dyDescent="0.8">
      <c r="A103" s="226"/>
      <c r="B103" s="389"/>
      <c r="C103" s="389"/>
      <c r="D103" s="382"/>
      <c r="E103" s="382"/>
      <c r="F103" s="382"/>
      <c r="G103" s="186"/>
      <c r="H103" s="383"/>
      <c r="I103" s="383"/>
      <c r="J103" s="383"/>
      <c r="K103" s="186"/>
      <c r="L103" s="186"/>
      <c r="M103" s="186"/>
      <c r="N103" s="186"/>
      <c r="O103" s="186"/>
      <c r="P103" s="186"/>
      <c r="Q103" s="382"/>
      <c r="R103" s="382"/>
      <c r="S103" s="382"/>
      <c r="T103" s="186"/>
      <c r="U103" s="186"/>
      <c r="V103" s="186"/>
      <c r="W103" s="186"/>
      <c r="X103" s="186"/>
      <c r="Y103" s="186"/>
      <c r="Z103" s="186"/>
      <c r="AA103" s="186"/>
      <c r="AB103" s="186"/>
      <c r="AC103" s="186"/>
    </row>
    <row r="104" spans="1:29" ht="18.95" hidden="1" customHeight="1" x14ac:dyDescent="0.8">
      <c r="A104" s="226"/>
      <c r="B104" s="389"/>
      <c r="C104" s="389"/>
      <c r="D104" s="382"/>
      <c r="E104" s="382"/>
      <c r="F104" s="382"/>
      <c r="G104" s="186"/>
      <c r="H104" s="383"/>
      <c r="I104" s="383"/>
      <c r="J104" s="383"/>
      <c r="K104" s="186"/>
      <c r="L104" s="186"/>
      <c r="M104" s="186"/>
      <c r="N104" s="186"/>
      <c r="O104" s="186"/>
      <c r="P104" s="186"/>
      <c r="Q104" s="382"/>
      <c r="R104" s="382"/>
      <c r="S104" s="382"/>
      <c r="T104" s="186"/>
      <c r="U104" s="186"/>
      <c r="V104" s="186"/>
      <c r="W104" s="186"/>
      <c r="X104" s="186"/>
      <c r="Y104" s="186"/>
      <c r="Z104" s="186"/>
      <c r="AA104" s="186"/>
      <c r="AB104" s="186"/>
      <c r="AC104" s="186"/>
    </row>
    <row r="105" spans="1:29" ht="33.75" hidden="1" customHeight="1" x14ac:dyDescent="0.8">
      <c r="A105" s="226"/>
      <c r="B105" s="389"/>
      <c r="C105" s="389"/>
      <c r="D105" s="382"/>
      <c r="E105" s="382"/>
      <c r="F105" s="382"/>
      <c r="G105" s="186"/>
      <c r="H105" s="383"/>
      <c r="I105" s="383"/>
      <c r="J105" s="383"/>
      <c r="K105" s="186"/>
      <c r="L105" s="186"/>
      <c r="M105" s="186"/>
      <c r="N105" s="186"/>
      <c r="O105" s="186"/>
      <c r="P105" s="186"/>
      <c r="Q105" s="382"/>
      <c r="R105" s="382"/>
      <c r="S105" s="382"/>
      <c r="T105" s="186"/>
      <c r="U105" s="186"/>
      <c r="V105" s="186"/>
      <c r="W105" s="186"/>
      <c r="X105" s="186"/>
      <c r="Y105" s="186"/>
      <c r="Z105" s="186"/>
      <c r="AA105" s="186"/>
      <c r="AB105" s="186"/>
      <c r="AC105" s="186"/>
    </row>
    <row r="106" spans="1:29" ht="18" hidden="1" customHeight="1" x14ac:dyDescent="0.8">
      <c r="A106" s="226"/>
      <c r="B106" s="389"/>
      <c r="C106" s="389"/>
      <c r="D106" s="382"/>
      <c r="E106" s="382"/>
      <c r="F106" s="382"/>
      <c r="G106" s="186"/>
      <c r="H106" s="383"/>
      <c r="I106" s="383"/>
      <c r="J106" s="383"/>
      <c r="K106" s="186"/>
      <c r="L106" s="186"/>
      <c r="M106" s="186"/>
      <c r="N106" s="186"/>
      <c r="O106" s="186"/>
      <c r="P106" s="186"/>
      <c r="Q106" s="382"/>
      <c r="R106" s="382"/>
      <c r="S106" s="382"/>
      <c r="T106" s="186"/>
      <c r="U106" s="186"/>
      <c r="V106" s="186"/>
      <c r="W106" s="186"/>
      <c r="X106" s="186"/>
      <c r="Y106" s="186"/>
      <c r="Z106" s="186"/>
      <c r="AA106" s="186"/>
      <c r="AB106" s="186"/>
      <c r="AC106" s="186"/>
    </row>
    <row r="107" spans="1:29" ht="41.25" hidden="1" customHeight="1" x14ac:dyDescent="0.8">
      <c r="A107" s="226"/>
      <c r="B107" s="391">
        <v>37210000</v>
      </c>
      <c r="C107" s="391"/>
      <c r="D107" s="298">
        <f>B107/B109*100</f>
        <v>16.919319716941281</v>
      </c>
      <c r="E107" s="391">
        <f>E109-E108</f>
        <v>6889997.2400000002</v>
      </c>
      <c r="F107" s="298">
        <f>E107/B107*100</f>
        <v>18.516520397742543</v>
      </c>
      <c r="G107" s="186"/>
      <c r="H107" s="383"/>
      <c r="I107" s="383"/>
      <c r="J107" s="383"/>
      <c r="K107" s="186"/>
      <c r="L107" s="186"/>
      <c r="M107" s="186"/>
      <c r="N107" s="186"/>
      <c r="O107" s="186"/>
      <c r="P107" s="186"/>
      <c r="Q107" s="298" t="e">
        <f>O107/O109*100</f>
        <v>#DIV/0!</v>
      </c>
      <c r="R107" s="391">
        <f>R109-R108</f>
        <v>6889997.2400000002</v>
      </c>
      <c r="S107" s="298" t="e">
        <f>R107/O107*100</f>
        <v>#DIV/0!</v>
      </c>
      <c r="T107" s="186"/>
      <c r="U107" s="186"/>
      <c r="V107" s="186"/>
      <c r="W107" s="298">
        <f>B107-E107</f>
        <v>30320002.759999998</v>
      </c>
      <c r="X107" s="298"/>
      <c r="Y107" s="382"/>
      <c r="Z107" s="186"/>
      <c r="AA107" s="186"/>
      <c r="AB107" s="186"/>
      <c r="AC107" s="382" t="e">
        <f>Y7+#REF!</f>
        <v>#REF!</v>
      </c>
    </row>
    <row r="108" spans="1:29" ht="34.5" hidden="1" customHeight="1" x14ac:dyDescent="0.8">
      <c r="A108" s="226"/>
      <c r="B108" s="392">
        <v>182716100</v>
      </c>
      <c r="C108" s="392"/>
      <c r="D108" s="298">
        <f>B108/B109*100</f>
        <v>83.080680283058712</v>
      </c>
      <c r="E108" s="392">
        <v>495000</v>
      </c>
      <c r="F108" s="298">
        <f>E108/B108*100</f>
        <v>0.27091208711219211</v>
      </c>
      <c r="G108" s="186"/>
      <c r="H108" s="383"/>
      <c r="I108" s="383"/>
      <c r="J108" s="383"/>
      <c r="K108" s="186"/>
      <c r="L108" s="186"/>
      <c r="M108" s="186"/>
      <c r="N108" s="186"/>
      <c r="O108" s="186"/>
      <c r="P108" s="186"/>
      <c r="Q108" s="298" t="e">
        <f>O108/O109*100</f>
        <v>#DIV/0!</v>
      </c>
      <c r="R108" s="392">
        <v>495000</v>
      </c>
      <c r="S108" s="298" t="e">
        <f>R108/O108*100</f>
        <v>#DIV/0!</v>
      </c>
      <c r="T108" s="186"/>
      <c r="U108" s="186"/>
      <c r="V108" s="186"/>
      <c r="W108" s="234">
        <f>B108-E108</f>
        <v>182221100</v>
      </c>
      <c r="X108" s="234"/>
      <c r="Y108" s="186"/>
      <c r="Z108" s="382"/>
      <c r="AA108" s="186"/>
      <c r="AB108" s="186"/>
      <c r="AC108" s="186" t="e">
        <f>AC107/F7*100</f>
        <v>#REF!</v>
      </c>
    </row>
    <row r="109" spans="1:29" ht="32.25" hidden="1" customHeight="1" x14ac:dyDescent="0.8">
      <c r="A109" s="226"/>
      <c r="B109" s="393">
        <f>B107+B108</f>
        <v>219926100</v>
      </c>
      <c r="C109" s="394"/>
      <c r="D109" s="395">
        <f>D107+D108</f>
        <v>100</v>
      </c>
      <c r="E109" s="393">
        <v>7384997.2400000002</v>
      </c>
      <c r="F109" s="395">
        <f>E109/B109*100</f>
        <v>3.3579448914885499</v>
      </c>
      <c r="G109" s="396"/>
      <c r="H109" s="397"/>
      <c r="I109" s="397"/>
      <c r="J109" s="397"/>
      <c r="K109" s="396"/>
      <c r="L109" s="396"/>
      <c r="M109" s="396"/>
      <c r="N109" s="396"/>
      <c r="O109" s="396"/>
      <c r="P109" s="396"/>
      <c r="Q109" s="395" t="e">
        <f>Q107+Q108</f>
        <v>#DIV/0!</v>
      </c>
      <c r="R109" s="393">
        <v>7384997.2400000002</v>
      </c>
      <c r="S109" s="395" t="e">
        <f>R109/O109*100</f>
        <v>#DIV/0!</v>
      </c>
      <c r="T109" s="396"/>
      <c r="U109" s="396"/>
      <c r="V109" s="396"/>
      <c r="W109" s="398">
        <f>B109-E109</f>
        <v>212541102.75999999</v>
      </c>
      <c r="X109" s="398"/>
      <c r="Y109" s="399" t="e">
        <f>F109+#REF!</f>
        <v>#REF!</v>
      </c>
      <c r="Z109" s="399">
        <f>E109+W109</f>
        <v>219926100</v>
      </c>
      <c r="AA109" s="186"/>
      <c r="AB109" s="186"/>
      <c r="AC109" s="186"/>
    </row>
    <row r="110" spans="1:29" ht="15.75" hidden="1" customHeight="1" x14ac:dyDescent="0.8">
      <c r="A110" s="226"/>
      <c r="B110" s="400"/>
      <c r="C110" s="400"/>
      <c r="D110" s="298"/>
      <c r="E110" s="400"/>
      <c r="F110" s="298"/>
      <c r="G110" s="186"/>
      <c r="H110" s="383"/>
      <c r="I110" s="383"/>
      <c r="J110" s="383"/>
      <c r="K110" s="186"/>
      <c r="L110" s="186"/>
      <c r="M110" s="186"/>
      <c r="N110" s="186"/>
      <c r="O110" s="186"/>
      <c r="P110" s="186"/>
      <c r="Q110" s="298"/>
      <c r="R110" s="400"/>
      <c r="S110" s="298"/>
      <c r="T110" s="186"/>
      <c r="U110" s="186"/>
      <c r="V110" s="186"/>
      <c r="W110" s="186"/>
      <c r="X110" s="186"/>
      <c r="Y110" s="186"/>
      <c r="Z110" s="186"/>
      <c r="AA110" s="186"/>
      <c r="AB110" s="186"/>
      <c r="AC110" s="186"/>
    </row>
    <row r="111" spans="1:29" ht="27.75" hidden="1" customHeight="1" x14ac:dyDescent="0.8">
      <c r="A111" s="233"/>
      <c r="B111" s="401"/>
      <c r="C111" s="401"/>
      <c r="D111" s="401"/>
      <c r="E111" s="402" t="s">
        <v>448</v>
      </c>
      <c r="F111" s="195"/>
      <c r="G111" s="383"/>
      <c r="H111" s="383"/>
      <c r="I111" s="383"/>
      <c r="J111" s="383"/>
      <c r="K111" s="383"/>
      <c r="L111" s="383"/>
      <c r="M111" s="383"/>
      <c r="N111" s="383"/>
      <c r="O111" s="383"/>
      <c r="P111" s="383"/>
      <c r="Q111" s="401"/>
      <c r="R111" s="402" t="s">
        <v>448</v>
      </c>
      <c r="S111" s="195"/>
      <c r="T111" s="383"/>
      <c r="U111" s="383"/>
      <c r="V111" s="383"/>
      <c r="W111" s="403" t="s">
        <v>421</v>
      </c>
      <c r="X111" s="403"/>
      <c r="Y111" s="186"/>
      <c r="Z111" s="186"/>
      <c r="AA111" s="186"/>
      <c r="AB111" s="186"/>
      <c r="AC111" s="186"/>
    </row>
    <row r="112" spans="1:29" ht="33.75" hidden="1" x14ac:dyDescent="0.8">
      <c r="A112" s="228"/>
      <c r="B112" s="404" t="s">
        <v>447</v>
      </c>
      <c r="C112" s="405"/>
      <c r="D112" s="405">
        <v>57420216</v>
      </c>
      <c r="E112" s="405">
        <v>209237.5</v>
      </c>
      <c r="F112" s="298"/>
      <c r="G112" s="186"/>
      <c r="H112" s="383"/>
      <c r="I112" s="383"/>
      <c r="J112" s="383"/>
      <c r="K112" s="186"/>
      <c r="L112" s="186"/>
      <c r="M112" s="186"/>
      <c r="N112" s="186"/>
      <c r="O112" s="186"/>
      <c r="P112" s="186"/>
      <c r="Q112" s="405">
        <v>57420216</v>
      </c>
      <c r="R112" s="405">
        <v>209237.5</v>
      </c>
      <c r="S112" s="298"/>
      <c r="T112" s="186"/>
      <c r="U112" s="186"/>
      <c r="V112" s="186"/>
      <c r="W112" s="406">
        <f>D112-E112</f>
        <v>57210978.5</v>
      </c>
      <c r="X112" s="406"/>
      <c r="Y112" s="186"/>
      <c r="Z112" s="186"/>
      <c r="AA112" s="186"/>
      <c r="AB112" s="186"/>
      <c r="AC112" s="234">
        <f>W7+E112</f>
        <v>151223938.79000002</v>
      </c>
    </row>
    <row r="113" spans="1:36" ht="54.75" hidden="1" customHeight="1" x14ac:dyDescent="0.8">
      <c r="A113" s="228"/>
      <c r="B113" s="298"/>
      <c r="C113" s="298"/>
      <c r="D113" s="298"/>
      <c r="E113" s="298">
        <f>E112/D112*100</f>
        <v>0.36439692250548134</v>
      </c>
      <c r="F113" s="298"/>
      <c r="G113" s="186"/>
      <c r="H113" s="383"/>
      <c r="I113" s="383"/>
      <c r="J113" s="383"/>
      <c r="K113" s="186"/>
      <c r="L113" s="186"/>
      <c r="M113" s="186"/>
      <c r="N113" s="186"/>
      <c r="O113" s="186"/>
      <c r="P113" s="186"/>
      <c r="Q113" s="298"/>
      <c r="R113" s="298">
        <f>R112/Q112*100</f>
        <v>0.36439692250548134</v>
      </c>
      <c r="S113" s="298"/>
      <c r="T113" s="186"/>
      <c r="U113" s="186"/>
      <c r="V113" s="186"/>
      <c r="W113" s="407">
        <f>W112/D112*100</f>
        <v>99.635603077494522</v>
      </c>
      <c r="X113" s="407"/>
      <c r="Y113" s="186"/>
      <c r="Z113" s="186"/>
      <c r="AA113" s="186"/>
      <c r="AB113" s="186"/>
      <c r="AC113" s="298">
        <f>8010655.74</f>
        <v>8010655.7400000002</v>
      </c>
    </row>
    <row r="114" spans="1:36" ht="33.75" hidden="1" x14ac:dyDescent="0.8">
      <c r="A114" s="228"/>
      <c r="B114" s="298"/>
      <c r="C114" s="298"/>
      <c r="D114" s="298"/>
      <c r="E114" s="408">
        <f>W7+E112</f>
        <v>151223938.79000002</v>
      </c>
      <c r="F114" s="298"/>
      <c r="G114" s="186"/>
      <c r="H114" s="383"/>
      <c r="I114" s="383"/>
      <c r="J114" s="383"/>
      <c r="K114" s="186"/>
      <c r="L114" s="186"/>
      <c r="M114" s="186"/>
      <c r="N114" s="186"/>
      <c r="O114" s="186"/>
      <c r="P114" s="186"/>
      <c r="Q114" s="298"/>
      <c r="R114" s="408">
        <f>AH7+R112</f>
        <v>41618638.170000002</v>
      </c>
      <c r="S114" s="298"/>
      <c r="T114" s="186"/>
      <c r="U114" s="186"/>
      <c r="V114" s="186"/>
      <c r="W114" s="186"/>
      <c r="X114" s="186"/>
      <c r="Y114" s="186"/>
      <c r="Z114" s="186"/>
      <c r="AA114" s="186"/>
      <c r="AB114" s="186"/>
      <c r="AC114" s="234">
        <f>AC112-AC113</f>
        <v>143213283.05000001</v>
      </c>
    </row>
    <row r="115" spans="1:36" ht="33.75" hidden="1" x14ac:dyDescent="0.8">
      <c r="A115" s="228"/>
      <c r="B115" s="186"/>
      <c r="C115" s="186"/>
      <c r="D115" s="382"/>
      <c r="E115" s="382"/>
      <c r="F115" s="382"/>
      <c r="G115" s="186"/>
      <c r="H115" s="383"/>
      <c r="I115" s="383"/>
      <c r="J115" s="383"/>
      <c r="K115" s="186"/>
      <c r="L115" s="186"/>
      <c r="M115" s="186"/>
      <c r="N115" s="186"/>
      <c r="O115" s="186"/>
      <c r="P115" s="186"/>
      <c r="Q115" s="382"/>
      <c r="R115" s="382"/>
      <c r="S115" s="382"/>
      <c r="T115" s="186"/>
      <c r="U115" s="186"/>
      <c r="V115" s="186"/>
      <c r="W115" s="186"/>
      <c r="X115" s="186"/>
      <c r="Y115" s="186"/>
      <c r="Z115" s="186"/>
      <c r="AA115" s="186"/>
      <c r="AB115" s="186"/>
      <c r="AC115" s="186"/>
    </row>
    <row r="116" spans="1:36" ht="11.25" hidden="1" customHeight="1" x14ac:dyDescent="0.8">
      <c r="A116" s="409"/>
      <c r="B116" s="410"/>
      <c r="C116" s="410"/>
      <c r="D116" s="196"/>
      <c r="E116" s="196"/>
      <c r="F116" s="196"/>
      <c r="G116" s="410"/>
      <c r="H116" s="411"/>
      <c r="I116" s="411"/>
      <c r="J116" s="411"/>
      <c r="K116" s="410"/>
      <c r="L116" s="410"/>
      <c r="M116" s="410"/>
      <c r="N116" s="410"/>
      <c r="O116" s="410"/>
      <c r="P116" s="410"/>
      <c r="Q116" s="196"/>
      <c r="R116" s="196"/>
      <c r="S116" s="196"/>
      <c r="T116" s="410"/>
      <c r="U116" s="410"/>
      <c r="V116" s="410"/>
      <c r="W116" s="410"/>
      <c r="X116" s="410"/>
      <c r="Y116" s="410"/>
      <c r="Z116" s="410"/>
      <c r="AA116" s="410"/>
      <c r="AB116" s="410"/>
      <c r="AC116" s="410"/>
      <c r="AD116" s="412"/>
      <c r="AE116" s="412"/>
      <c r="AF116" s="412"/>
      <c r="AG116" s="412"/>
      <c r="AH116" s="412"/>
      <c r="AI116" s="412"/>
      <c r="AJ116" s="412"/>
    </row>
    <row r="117" spans="1:36" ht="60" hidden="1" customHeight="1" x14ac:dyDescent="0.95">
      <c r="A117" s="228"/>
      <c r="B117" s="469" t="s">
        <v>474</v>
      </c>
      <c r="C117" s="470"/>
      <c r="D117" s="471">
        <v>9</v>
      </c>
      <c r="E117" s="505">
        <v>37522000</v>
      </c>
      <c r="F117" s="506">
        <f>E117/E119*100</f>
        <v>17.06118555278341</v>
      </c>
      <c r="G117" s="472"/>
      <c r="H117" s="473"/>
      <c r="I117" s="473"/>
      <c r="J117" s="473"/>
      <c r="K117" s="472"/>
      <c r="L117" s="472"/>
      <c r="M117" s="472"/>
      <c r="N117" s="472"/>
      <c r="O117" s="472"/>
      <c r="P117" s="472"/>
      <c r="Q117" s="471">
        <v>9</v>
      </c>
      <c r="R117" s="505">
        <v>37522000</v>
      </c>
      <c r="S117" s="506">
        <f>R117/R119*100</f>
        <v>17.06118555278341</v>
      </c>
      <c r="T117" s="472"/>
      <c r="U117" s="503">
        <f>U119-U118</f>
        <v>65716023.080000013</v>
      </c>
      <c r="V117" s="474">
        <f>U117/E117*100</f>
        <v>175.13997942540379</v>
      </c>
      <c r="W117" s="474">
        <f>W119-W118</f>
        <v>82883579.080000013</v>
      </c>
      <c r="X117" s="474">
        <f>W117/E117*100</f>
        <v>220.89328681839993</v>
      </c>
      <c r="Y117" s="474">
        <f>E117-W117</f>
        <v>-45361579.080000013</v>
      </c>
      <c r="Z117" s="475">
        <f>Y117/E117*100</f>
        <v>-120.8932868183999</v>
      </c>
      <c r="AA117" s="415"/>
      <c r="AB117" s="415"/>
      <c r="AC117" s="467"/>
      <c r="AI117" s="244">
        <f>6023168+6331680+5188460+3106800</f>
        <v>20650108</v>
      </c>
    </row>
    <row r="118" spans="1:36" ht="51" hidden="1" customHeight="1" x14ac:dyDescent="0.85">
      <c r="A118" s="228"/>
      <c r="B118" s="469" t="s">
        <v>204</v>
      </c>
      <c r="C118" s="470"/>
      <c r="D118" s="471">
        <v>10</v>
      </c>
      <c r="E118" s="505">
        <v>182404100</v>
      </c>
      <c r="F118" s="506">
        <f>E118/E119*100</f>
        <v>82.938814447216586</v>
      </c>
      <c r="G118" s="472"/>
      <c r="H118" s="473"/>
      <c r="I118" s="473"/>
      <c r="J118" s="473"/>
      <c r="K118" s="472"/>
      <c r="L118" s="472"/>
      <c r="M118" s="472"/>
      <c r="N118" s="472"/>
      <c r="O118" s="472"/>
      <c r="P118" s="472"/>
      <c r="Q118" s="471">
        <v>10</v>
      </c>
      <c r="R118" s="505">
        <v>182404100</v>
      </c>
      <c r="S118" s="506">
        <f>R118/R119*100</f>
        <v>82.938814447216586</v>
      </c>
      <c r="T118" s="472"/>
      <c r="U118" s="502">
        <f>428630.21+495000+5580000+9988000+41990000+21232150+3746850+20516416+7163584+25390000+17588000</f>
        <v>154118630.21000001</v>
      </c>
      <c r="V118" s="474">
        <f>U118/E118*100</f>
        <v>84.492963814958117</v>
      </c>
      <c r="W118" s="501">
        <f>1320000+495000+9988000+3746850+7163584+3106800+428630.21+3106800+6023168+6331680+5188460+13318802.8+7913347.2</f>
        <v>68131122.210000008</v>
      </c>
      <c r="X118" s="474">
        <f>W118/E118*100</f>
        <v>37.351749335678313</v>
      </c>
      <c r="Y118" s="474">
        <f>E118-W118</f>
        <v>114272977.78999999</v>
      </c>
      <c r="Z118" s="475">
        <f>Y118/E118*100</f>
        <v>62.648250664321679</v>
      </c>
      <c r="AA118" s="415"/>
      <c r="AB118" s="415"/>
      <c r="AC118" s="467">
        <f>X118+Z118</f>
        <v>100</v>
      </c>
    </row>
    <row r="119" spans="1:36" ht="66" hidden="1" customHeight="1" x14ac:dyDescent="0.85">
      <c r="A119" s="228"/>
      <c r="B119" s="469" t="s">
        <v>29</v>
      </c>
      <c r="C119" s="470"/>
      <c r="D119" s="476">
        <v>19</v>
      </c>
      <c r="E119" s="477">
        <f>E117+E118</f>
        <v>219926100</v>
      </c>
      <c r="F119" s="478">
        <f>F117+F118</f>
        <v>100</v>
      </c>
      <c r="G119" s="479"/>
      <c r="H119" s="480"/>
      <c r="I119" s="480"/>
      <c r="J119" s="480"/>
      <c r="K119" s="479"/>
      <c r="L119" s="479"/>
      <c r="M119" s="479"/>
      <c r="N119" s="479"/>
      <c r="O119" s="479"/>
      <c r="P119" s="479"/>
      <c r="Q119" s="476">
        <v>19</v>
      </c>
      <c r="R119" s="477">
        <f>R117+R118</f>
        <v>219926100</v>
      </c>
      <c r="S119" s="478">
        <f>S117+S118</f>
        <v>100</v>
      </c>
      <c r="T119" s="479"/>
      <c r="U119" s="504">
        <f>U7</f>
        <v>219834653.29000002</v>
      </c>
      <c r="V119" s="481">
        <f>U119/E119*100</f>
        <v>99.958419346316802</v>
      </c>
      <c r="W119" s="482">
        <f>W7</f>
        <v>151014701.29000002</v>
      </c>
      <c r="X119" s="482">
        <f>W119/E119*100</f>
        <v>68.666111612036957</v>
      </c>
      <c r="Y119" s="483">
        <f>Y117+Y118</f>
        <v>68911398.709999979</v>
      </c>
      <c r="Z119" s="483">
        <f>Y119/E119*100</f>
        <v>31.333888387963039</v>
      </c>
      <c r="AA119" s="607"/>
      <c r="AB119" s="607"/>
      <c r="AC119" s="468">
        <f>X119+Z119</f>
        <v>100</v>
      </c>
    </row>
    <row r="120" spans="1:36" ht="90" hidden="1" customHeight="1" x14ac:dyDescent="1">
      <c r="A120" s="228"/>
      <c r="B120" s="415"/>
      <c r="C120" s="415"/>
      <c r="D120" s="414"/>
      <c r="E120" s="1320"/>
      <c r="F120" s="1321"/>
      <c r="G120" s="415"/>
      <c r="H120" s="416"/>
      <c r="I120" s="416"/>
      <c r="J120" s="416"/>
      <c r="K120" s="415"/>
      <c r="L120" s="415"/>
      <c r="M120" s="415"/>
      <c r="N120" s="415"/>
      <c r="O120" s="415"/>
      <c r="P120" s="415"/>
      <c r="Q120" s="414"/>
      <c r="R120" s="1320"/>
      <c r="S120" s="1321"/>
      <c r="T120" s="415"/>
      <c r="U120" s="1322" t="s">
        <v>727</v>
      </c>
      <c r="V120" s="1322"/>
      <c r="W120" s="1313" t="s">
        <v>721</v>
      </c>
      <c r="X120" s="1313"/>
      <c r="Y120" s="1314"/>
      <c r="Z120" s="1314"/>
      <c r="AA120" s="608"/>
      <c r="AB120" s="608"/>
      <c r="AC120" s="243"/>
    </row>
    <row r="121" spans="1:36" ht="8.25" hidden="1" customHeight="1" x14ac:dyDescent="0.8">
      <c r="A121" s="228"/>
      <c r="Y121" s="234"/>
    </row>
    <row r="122" spans="1:36" ht="53.25" hidden="1" customHeight="1" x14ac:dyDescent="0.85">
      <c r="A122" s="233"/>
      <c r="D122" s="382"/>
      <c r="Q122" s="382"/>
      <c r="W122" s="413">
        <f>W119+Y119</f>
        <v>219926100</v>
      </c>
      <c r="X122" s="413"/>
      <c r="Y122" s="194"/>
      <c r="AC122" s="414"/>
    </row>
    <row r="123" spans="1:36" ht="31.5" hidden="1" x14ac:dyDescent="0.75">
      <c r="U123" s="1315" t="s">
        <v>729</v>
      </c>
      <c r="V123" s="1315"/>
      <c r="W123" s="1315"/>
      <c r="X123" s="1315"/>
    </row>
  </sheetData>
  <mergeCells count="53">
    <mergeCell ref="E120:F120"/>
    <mergeCell ref="U120:V120"/>
    <mergeCell ref="S5:S6"/>
    <mergeCell ref="F96:G96"/>
    <mergeCell ref="H96:I96"/>
    <mergeCell ref="J96:K96"/>
    <mergeCell ref="K5:K6"/>
    <mergeCell ref="H95:I95"/>
    <mergeCell ref="H98:I98"/>
    <mergeCell ref="F97:G97"/>
    <mergeCell ref="H97:I97"/>
    <mergeCell ref="F98:G98"/>
    <mergeCell ref="W120:X120"/>
    <mergeCell ref="R120:S120"/>
    <mergeCell ref="Z5:Z6"/>
    <mergeCell ref="J95:K95"/>
    <mergeCell ref="Q4:S4"/>
    <mergeCell ref="J98:K98"/>
    <mergeCell ref="J97:K97"/>
    <mergeCell ref="Y120:Z120"/>
    <mergeCell ref="Y5:Y6"/>
    <mergeCell ref="X5:X6"/>
    <mergeCell ref="L5:L6"/>
    <mergeCell ref="M5:M6"/>
    <mergeCell ref="N5:N6"/>
    <mergeCell ref="W5:W6"/>
    <mergeCell ref="Q5:Q6"/>
    <mergeCell ref="R5:R6"/>
    <mergeCell ref="U4:Z4"/>
    <mergeCell ref="AC35:AC37"/>
    <mergeCell ref="AC62:AC63"/>
    <mergeCell ref="B93:K93"/>
    <mergeCell ref="B94:B95"/>
    <mergeCell ref="C94:D94"/>
    <mergeCell ref="E94:G94"/>
    <mergeCell ref="H94:K94"/>
    <mergeCell ref="F95:G95"/>
    <mergeCell ref="U123:X123"/>
    <mergeCell ref="A1:AC1"/>
    <mergeCell ref="A4:A6"/>
    <mergeCell ref="B4:F4"/>
    <mergeCell ref="G4:J4"/>
    <mergeCell ref="K4:M4"/>
    <mergeCell ref="AC4:AC6"/>
    <mergeCell ref="B5:B6"/>
    <mergeCell ref="C5:C6"/>
    <mergeCell ref="D5:D6"/>
    <mergeCell ref="E5:E6"/>
    <mergeCell ref="F5:F6"/>
    <mergeCell ref="G5:H5"/>
    <mergeCell ref="I5:J5"/>
    <mergeCell ref="B2:AC2"/>
    <mergeCell ref="AA3:AC3"/>
  </mergeCells>
  <printOptions horizontalCentered="1"/>
  <pageMargins left="0.19685039370078741" right="0" top="0.39370078740157483" bottom="0.19685039370078741" header="0.11811023622047245" footer="0.31496062992125984"/>
  <pageSetup paperSize="9" scale="44" orientation="landscape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39"/>
  <sheetViews>
    <sheetView view="pageBreakPreview" zoomScale="60" zoomScaleNormal="85" workbookViewId="0">
      <pane ySplit="8" topLeftCell="A35" activePane="bottomLeft" state="frozen"/>
      <selection pane="bottomLeft" activeCell="P36" sqref="P36"/>
    </sheetView>
  </sheetViews>
  <sheetFormatPr defaultRowHeight="24.75" outlineLevelRow="1" x14ac:dyDescent="0.2"/>
  <cols>
    <col min="1" max="1" width="8" style="256" customWidth="1"/>
    <col min="2" max="2" width="78.375" style="269" customWidth="1"/>
    <col min="3" max="3" width="28" style="246" customWidth="1"/>
    <col min="4" max="4" width="9.125" style="245" hidden="1" customWidth="1"/>
    <col min="5" max="5" width="1.25" style="245" hidden="1" customWidth="1"/>
    <col min="6" max="6" width="19.75" style="254" customWidth="1"/>
    <col min="7" max="7" width="21.25" style="250" hidden="1" customWidth="1"/>
    <col min="8" max="8" width="23.125" style="250" hidden="1" customWidth="1"/>
    <col min="9" max="9" width="27.625" style="252" customWidth="1"/>
    <col min="10" max="10" width="4.25" style="251" hidden="1" customWidth="1"/>
    <col min="11" max="11" width="27.875" style="246" customWidth="1"/>
    <col min="12" max="12" width="12.75" style="245" hidden="1" customWidth="1"/>
    <col min="13" max="13" width="24" style="250" customWidth="1"/>
    <col min="14" max="14" width="6.625" style="250" hidden="1" customWidth="1"/>
    <col min="15" max="15" width="9.875" style="250" hidden="1" customWidth="1"/>
    <col min="16" max="16" width="89.25" style="268" customWidth="1"/>
    <col min="17" max="17" width="55.125" style="264" customWidth="1"/>
    <col min="18" max="18" width="31.125" style="245" customWidth="1"/>
    <col min="19" max="263" width="8" style="245" customWidth="1"/>
    <col min="264" max="264" width="0" style="245" hidden="1" customWidth="1"/>
    <col min="265" max="265" width="75" style="245" customWidth="1"/>
    <col min="266" max="267" width="0" style="245" hidden="1" customWidth="1"/>
    <col min="268" max="268" width="20.875" style="245" customWidth="1"/>
    <col min="269" max="519" width="8" style="245" customWidth="1"/>
    <col min="520" max="520" width="0" style="245" hidden="1" customWidth="1"/>
    <col min="521" max="521" width="75" style="245" customWidth="1"/>
    <col min="522" max="523" width="0" style="245" hidden="1" customWidth="1"/>
    <col min="524" max="524" width="20.875" style="245" customWidth="1"/>
    <col min="525" max="775" width="8" style="245" customWidth="1"/>
    <col min="776" max="776" width="0" style="245" hidden="1" customWidth="1"/>
    <col min="777" max="777" width="75" style="245" customWidth="1"/>
    <col min="778" max="779" width="0" style="245" hidden="1" customWidth="1"/>
    <col min="780" max="780" width="20.875" style="245" customWidth="1"/>
    <col min="781" max="1031" width="8" style="245" customWidth="1"/>
    <col min="1032" max="1032" width="0" style="245" hidden="1" customWidth="1"/>
    <col min="1033" max="1033" width="75" style="245" customWidth="1"/>
    <col min="1034" max="1035" width="0" style="245" hidden="1" customWidth="1"/>
    <col min="1036" max="1036" width="20.875" style="245" customWidth="1"/>
    <col min="1037" max="1287" width="8" style="245" customWidth="1"/>
    <col min="1288" max="1288" width="0" style="245" hidden="1" customWidth="1"/>
    <col min="1289" max="1289" width="75" style="245" customWidth="1"/>
    <col min="1290" max="1291" width="0" style="245" hidden="1" customWidth="1"/>
    <col min="1292" max="1292" width="20.875" style="245" customWidth="1"/>
    <col min="1293" max="1543" width="8" style="245" customWidth="1"/>
    <col min="1544" max="1544" width="0" style="245" hidden="1" customWidth="1"/>
    <col min="1545" max="1545" width="75" style="245" customWidth="1"/>
    <col min="1546" max="1547" width="0" style="245" hidden="1" customWidth="1"/>
    <col min="1548" max="1548" width="20.875" style="245" customWidth="1"/>
    <col min="1549" max="1799" width="8" style="245" customWidth="1"/>
    <col min="1800" max="1800" width="0" style="245" hidden="1" customWidth="1"/>
    <col min="1801" max="1801" width="75" style="245" customWidth="1"/>
    <col min="1802" max="1803" width="0" style="245" hidden="1" customWidth="1"/>
    <col min="1804" max="1804" width="20.875" style="245" customWidth="1"/>
    <col min="1805" max="2055" width="8" style="245" customWidth="1"/>
    <col min="2056" max="2056" width="0" style="245" hidden="1" customWidth="1"/>
    <col min="2057" max="2057" width="75" style="245" customWidth="1"/>
    <col min="2058" max="2059" width="0" style="245" hidden="1" customWidth="1"/>
    <col min="2060" max="2060" width="20.875" style="245" customWidth="1"/>
    <col min="2061" max="2311" width="8" style="245" customWidth="1"/>
    <col min="2312" max="2312" width="0" style="245" hidden="1" customWidth="1"/>
    <col min="2313" max="2313" width="75" style="245" customWidth="1"/>
    <col min="2314" max="2315" width="0" style="245" hidden="1" customWidth="1"/>
    <col min="2316" max="2316" width="20.875" style="245" customWidth="1"/>
    <col min="2317" max="2567" width="8" style="245" customWidth="1"/>
    <col min="2568" max="2568" width="0" style="245" hidden="1" customWidth="1"/>
    <col min="2569" max="2569" width="75" style="245" customWidth="1"/>
    <col min="2570" max="2571" width="0" style="245" hidden="1" customWidth="1"/>
    <col min="2572" max="2572" width="20.875" style="245" customWidth="1"/>
    <col min="2573" max="2823" width="8" style="245" customWidth="1"/>
    <col min="2824" max="2824" width="0" style="245" hidden="1" customWidth="1"/>
    <col min="2825" max="2825" width="75" style="245" customWidth="1"/>
    <col min="2826" max="2827" width="0" style="245" hidden="1" customWidth="1"/>
    <col min="2828" max="2828" width="20.875" style="245" customWidth="1"/>
    <col min="2829" max="3079" width="8" style="245" customWidth="1"/>
    <col min="3080" max="3080" width="0" style="245" hidden="1" customWidth="1"/>
    <col min="3081" max="3081" width="75" style="245" customWidth="1"/>
    <col min="3082" max="3083" width="0" style="245" hidden="1" customWidth="1"/>
    <col min="3084" max="3084" width="20.875" style="245" customWidth="1"/>
    <col min="3085" max="3335" width="8" style="245" customWidth="1"/>
    <col min="3336" max="3336" width="0" style="245" hidden="1" customWidth="1"/>
    <col min="3337" max="3337" width="75" style="245" customWidth="1"/>
    <col min="3338" max="3339" width="0" style="245" hidden="1" customWidth="1"/>
    <col min="3340" max="3340" width="20.875" style="245" customWidth="1"/>
    <col min="3341" max="3591" width="8" style="245" customWidth="1"/>
    <col min="3592" max="3592" width="0" style="245" hidden="1" customWidth="1"/>
    <col min="3593" max="3593" width="75" style="245" customWidth="1"/>
    <col min="3594" max="3595" width="0" style="245" hidden="1" customWidth="1"/>
    <col min="3596" max="3596" width="20.875" style="245" customWidth="1"/>
    <col min="3597" max="3847" width="8" style="245" customWidth="1"/>
    <col min="3848" max="3848" width="0" style="245" hidden="1" customWidth="1"/>
    <col min="3849" max="3849" width="75" style="245" customWidth="1"/>
    <col min="3850" max="3851" width="0" style="245" hidden="1" customWidth="1"/>
    <col min="3852" max="3852" width="20.875" style="245" customWidth="1"/>
    <col min="3853" max="4103" width="8" style="245" customWidth="1"/>
    <col min="4104" max="4104" width="0" style="245" hidden="1" customWidth="1"/>
    <col min="4105" max="4105" width="75" style="245" customWidth="1"/>
    <col min="4106" max="4107" width="0" style="245" hidden="1" customWidth="1"/>
    <col min="4108" max="4108" width="20.875" style="245" customWidth="1"/>
    <col min="4109" max="4359" width="8" style="245" customWidth="1"/>
    <col min="4360" max="4360" width="0" style="245" hidden="1" customWidth="1"/>
    <col min="4361" max="4361" width="75" style="245" customWidth="1"/>
    <col min="4362" max="4363" width="0" style="245" hidden="1" customWidth="1"/>
    <col min="4364" max="4364" width="20.875" style="245" customWidth="1"/>
    <col min="4365" max="4615" width="8" style="245" customWidth="1"/>
    <col min="4616" max="4616" width="0" style="245" hidden="1" customWidth="1"/>
    <col min="4617" max="4617" width="75" style="245" customWidth="1"/>
    <col min="4618" max="4619" width="0" style="245" hidden="1" customWidth="1"/>
    <col min="4620" max="4620" width="20.875" style="245" customWidth="1"/>
    <col min="4621" max="4871" width="8" style="245" customWidth="1"/>
    <col min="4872" max="4872" width="0" style="245" hidden="1" customWidth="1"/>
    <col min="4873" max="4873" width="75" style="245" customWidth="1"/>
    <col min="4874" max="4875" width="0" style="245" hidden="1" customWidth="1"/>
    <col min="4876" max="4876" width="20.875" style="245" customWidth="1"/>
    <col min="4877" max="5127" width="8" style="245" customWidth="1"/>
    <col min="5128" max="5128" width="0" style="245" hidden="1" customWidth="1"/>
    <col min="5129" max="5129" width="75" style="245" customWidth="1"/>
    <col min="5130" max="5131" width="0" style="245" hidden="1" customWidth="1"/>
    <col min="5132" max="5132" width="20.875" style="245" customWidth="1"/>
    <col min="5133" max="5383" width="8" style="245" customWidth="1"/>
    <col min="5384" max="5384" width="0" style="245" hidden="1" customWidth="1"/>
    <col min="5385" max="5385" width="75" style="245" customWidth="1"/>
    <col min="5386" max="5387" width="0" style="245" hidden="1" customWidth="1"/>
    <col min="5388" max="5388" width="20.875" style="245" customWidth="1"/>
    <col min="5389" max="5639" width="8" style="245" customWidth="1"/>
    <col min="5640" max="5640" width="0" style="245" hidden="1" customWidth="1"/>
    <col min="5641" max="5641" width="75" style="245" customWidth="1"/>
    <col min="5642" max="5643" width="0" style="245" hidden="1" customWidth="1"/>
    <col min="5644" max="5644" width="20.875" style="245" customWidth="1"/>
    <col min="5645" max="5895" width="8" style="245" customWidth="1"/>
    <col min="5896" max="5896" width="0" style="245" hidden="1" customWidth="1"/>
    <col min="5897" max="5897" width="75" style="245" customWidth="1"/>
    <col min="5898" max="5899" width="0" style="245" hidden="1" customWidth="1"/>
    <col min="5900" max="5900" width="20.875" style="245" customWidth="1"/>
    <col min="5901" max="6151" width="8" style="245" customWidth="1"/>
    <col min="6152" max="6152" width="0" style="245" hidden="1" customWidth="1"/>
    <col min="6153" max="6153" width="75" style="245" customWidth="1"/>
    <col min="6154" max="6155" width="0" style="245" hidden="1" customWidth="1"/>
    <col min="6156" max="6156" width="20.875" style="245" customWidth="1"/>
    <col min="6157" max="6407" width="8" style="245" customWidth="1"/>
    <col min="6408" max="6408" width="0" style="245" hidden="1" customWidth="1"/>
    <col min="6409" max="6409" width="75" style="245" customWidth="1"/>
    <col min="6410" max="6411" width="0" style="245" hidden="1" customWidth="1"/>
    <col min="6412" max="6412" width="20.875" style="245" customWidth="1"/>
    <col min="6413" max="6663" width="8" style="245" customWidth="1"/>
    <col min="6664" max="6664" width="0" style="245" hidden="1" customWidth="1"/>
    <col min="6665" max="6665" width="75" style="245" customWidth="1"/>
    <col min="6666" max="6667" width="0" style="245" hidden="1" customWidth="1"/>
    <col min="6668" max="6668" width="20.875" style="245" customWidth="1"/>
    <col min="6669" max="6919" width="8" style="245" customWidth="1"/>
    <col min="6920" max="6920" width="0" style="245" hidden="1" customWidth="1"/>
    <col min="6921" max="6921" width="75" style="245" customWidth="1"/>
    <col min="6922" max="6923" width="0" style="245" hidden="1" customWidth="1"/>
    <col min="6924" max="6924" width="20.875" style="245" customWidth="1"/>
    <col min="6925" max="7175" width="8" style="245" customWidth="1"/>
    <col min="7176" max="7176" width="0" style="245" hidden="1" customWidth="1"/>
    <col min="7177" max="7177" width="75" style="245" customWidth="1"/>
    <col min="7178" max="7179" width="0" style="245" hidden="1" customWidth="1"/>
    <col min="7180" max="7180" width="20.875" style="245" customWidth="1"/>
    <col min="7181" max="7431" width="8" style="245" customWidth="1"/>
    <col min="7432" max="7432" width="0" style="245" hidden="1" customWidth="1"/>
    <col min="7433" max="7433" width="75" style="245" customWidth="1"/>
    <col min="7434" max="7435" width="0" style="245" hidden="1" customWidth="1"/>
    <col min="7436" max="7436" width="20.875" style="245" customWidth="1"/>
    <col min="7437" max="7687" width="8" style="245" customWidth="1"/>
    <col min="7688" max="7688" width="0" style="245" hidden="1" customWidth="1"/>
    <col min="7689" max="7689" width="75" style="245" customWidth="1"/>
    <col min="7690" max="7691" width="0" style="245" hidden="1" customWidth="1"/>
    <col min="7692" max="7692" width="20.875" style="245" customWidth="1"/>
    <col min="7693" max="7943" width="8" style="245" customWidth="1"/>
    <col min="7944" max="7944" width="0" style="245" hidden="1" customWidth="1"/>
    <col min="7945" max="7945" width="75" style="245" customWidth="1"/>
    <col min="7946" max="7947" width="0" style="245" hidden="1" customWidth="1"/>
    <col min="7948" max="7948" width="20.875" style="245" customWidth="1"/>
    <col min="7949" max="8199" width="8" style="245" customWidth="1"/>
    <col min="8200" max="8200" width="0" style="245" hidden="1" customWidth="1"/>
    <col min="8201" max="8201" width="75" style="245" customWidth="1"/>
    <col min="8202" max="8203" width="0" style="245" hidden="1" customWidth="1"/>
    <col min="8204" max="8204" width="20.875" style="245" customWidth="1"/>
    <col min="8205" max="8455" width="8" style="245" customWidth="1"/>
    <col min="8456" max="8456" width="0" style="245" hidden="1" customWidth="1"/>
    <col min="8457" max="8457" width="75" style="245" customWidth="1"/>
    <col min="8458" max="8459" width="0" style="245" hidden="1" customWidth="1"/>
    <col min="8460" max="8460" width="20.875" style="245" customWidth="1"/>
    <col min="8461" max="8711" width="8" style="245" customWidth="1"/>
    <col min="8712" max="8712" width="0" style="245" hidden="1" customWidth="1"/>
    <col min="8713" max="8713" width="75" style="245" customWidth="1"/>
    <col min="8714" max="8715" width="0" style="245" hidden="1" customWidth="1"/>
    <col min="8716" max="8716" width="20.875" style="245" customWidth="1"/>
    <col min="8717" max="8967" width="8" style="245" customWidth="1"/>
    <col min="8968" max="8968" width="0" style="245" hidden="1" customWidth="1"/>
    <col min="8969" max="8969" width="75" style="245" customWidth="1"/>
    <col min="8970" max="8971" width="0" style="245" hidden="1" customWidth="1"/>
    <col min="8972" max="8972" width="20.875" style="245" customWidth="1"/>
    <col min="8973" max="9223" width="8" style="245" customWidth="1"/>
    <col min="9224" max="9224" width="0" style="245" hidden="1" customWidth="1"/>
    <col min="9225" max="9225" width="75" style="245" customWidth="1"/>
    <col min="9226" max="9227" width="0" style="245" hidden="1" customWidth="1"/>
    <col min="9228" max="9228" width="20.875" style="245" customWidth="1"/>
    <col min="9229" max="9479" width="8" style="245" customWidth="1"/>
    <col min="9480" max="9480" width="0" style="245" hidden="1" customWidth="1"/>
    <col min="9481" max="9481" width="75" style="245" customWidth="1"/>
    <col min="9482" max="9483" width="0" style="245" hidden="1" customWidth="1"/>
    <col min="9484" max="9484" width="20.875" style="245" customWidth="1"/>
    <col min="9485" max="9735" width="8" style="245" customWidth="1"/>
    <col min="9736" max="9736" width="0" style="245" hidden="1" customWidth="1"/>
    <col min="9737" max="9737" width="75" style="245" customWidth="1"/>
    <col min="9738" max="9739" width="0" style="245" hidden="1" customWidth="1"/>
    <col min="9740" max="9740" width="20.875" style="245" customWidth="1"/>
    <col min="9741" max="9991" width="8" style="245" customWidth="1"/>
    <col min="9992" max="9992" width="0" style="245" hidden="1" customWidth="1"/>
    <col min="9993" max="9993" width="75" style="245" customWidth="1"/>
    <col min="9994" max="9995" width="0" style="245" hidden="1" customWidth="1"/>
    <col min="9996" max="9996" width="20.875" style="245" customWidth="1"/>
    <col min="9997" max="10247" width="8" style="245" customWidth="1"/>
    <col min="10248" max="10248" width="0" style="245" hidden="1" customWidth="1"/>
    <col min="10249" max="10249" width="75" style="245" customWidth="1"/>
    <col min="10250" max="10251" width="0" style="245" hidden="1" customWidth="1"/>
    <col min="10252" max="10252" width="20.875" style="245" customWidth="1"/>
    <col min="10253" max="10503" width="8" style="245" customWidth="1"/>
    <col min="10504" max="10504" width="0" style="245" hidden="1" customWidth="1"/>
    <col min="10505" max="10505" width="75" style="245" customWidth="1"/>
    <col min="10506" max="10507" width="0" style="245" hidden="1" customWidth="1"/>
    <col min="10508" max="10508" width="20.875" style="245" customWidth="1"/>
    <col min="10509" max="10759" width="8" style="245" customWidth="1"/>
    <col min="10760" max="10760" width="0" style="245" hidden="1" customWidth="1"/>
    <col min="10761" max="10761" width="75" style="245" customWidth="1"/>
    <col min="10762" max="10763" width="0" style="245" hidden="1" customWidth="1"/>
    <col min="10764" max="10764" width="20.875" style="245" customWidth="1"/>
    <col min="10765" max="11015" width="8" style="245" customWidth="1"/>
    <col min="11016" max="11016" width="0" style="245" hidden="1" customWidth="1"/>
    <col min="11017" max="11017" width="75" style="245" customWidth="1"/>
    <col min="11018" max="11019" width="0" style="245" hidden="1" customWidth="1"/>
    <col min="11020" max="11020" width="20.875" style="245" customWidth="1"/>
    <col min="11021" max="11271" width="8" style="245" customWidth="1"/>
    <col min="11272" max="11272" width="0" style="245" hidden="1" customWidth="1"/>
    <col min="11273" max="11273" width="75" style="245" customWidth="1"/>
    <col min="11274" max="11275" width="0" style="245" hidden="1" customWidth="1"/>
    <col min="11276" max="11276" width="20.875" style="245" customWidth="1"/>
    <col min="11277" max="11527" width="8" style="245" customWidth="1"/>
    <col min="11528" max="11528" width="0" style="245" hidden="1" customWidth="1"/>
    <col min="11529" max="11529" width="75" style="245" customWidth="1"/>
    <col min="11530" max="11531" width="0" style="245" hidden="1" customWidth="1"/>
    <col min="11532" max="11532" width="20.875" style="245" customWidth="1"/>
    <col min="11533" max="11783" width="8" style="245" customWidth="1"/>
    <col min="11784" max="11784" width="0" style="245" hidden="1" customWidth="1"/>
    <col min="11785" max="11785" width="75" style="245" customWidth="1"/>
    <col min="11786" max="11787" width="0" style="245" hidden="1" customWidth="1"/>
    <col min="11788" max="11788" width="20.875" style="245" customWidth="1"/>
    <col min="11789" max="12039" width="8" style="245" customWidth="1"/>
    <col min="12040" max="12040" width="0" style="245" hidden="1" customWidth="1"/>
    <col min="12041" max="12041" width="75" style="245" customWidth="1"/>
    <col min="12042" max="12043" width="0" style="245" hidden="1" customWidth="1"/>
    <col min="12044" max="12044" width="20.875" style="245" customWidth="1"/>
    <col min="12045" max="12295" width="8" style="245" customWidth="1"/>
    <col min="12296" max="12296" width="0" style="245" hidden="1" customWidth="1"/>
    <col min="12297" max="12297" width="75" style="245" customWidth="1"/>
    <col min="12298" max="12299" width="0" style="245" hidden="1" customWidth="1"/>
    <col min="12300" max="12300" width="20.875" style="245" customWidth="1"/>
    <col min="12301" max="12551" width="8" style="245" customWidth="1"/>
    <col min="12552" max="12552" width="0" style="245" hidden="1" customWidth="1"/>
    <col min="12553" max="12553" width="75" style="245" customWidth="1"/>
    <col min="12554" max="12555" width="0" style="245" hidden="1" customWidth="1"/>
    <col min="12556" max="12556" width="20.875" style="245" customWidth="1"/>
    <col min="12557" max="12807" width="8" style="245" customWidth="1"/>
    <col min="12808" max="12808" width="0" style="245" hidden="1" customWidth="1"/>
    <col min="12809" max="12809" width="75" style="245" customWidth="1"/>
    <col min="12810" max="12811" width="0" style="245" hidden="1" customWidth="1"/>
    <col min="12812" max="12812" width="20.875" style="245" customWidth="1"/>
    <col min="12813" max="13063" width="8" style="245" customWidth="1"/>
    <col min="13064" max="13064" width="0" style="245" hidden="1" customWidth="1"/>
    <col min="13065" max="13065" width="75" style="245" customWidth="1"/>
    <col min="13066" max="13067" width="0" style="245" hidden="1" customWidth="1"/>
    <col min="13068" max="13068" width="20.875" style="245" customWidth="1"/>
    <col min="13069" max="13319" width="8" style="245" customWidth="1"/>
    <col min="13320" max="13320" width="0" style="245" hidden="1" customWidth="1"/>
    <col min="13321" max="13321" width="75" style="245" customWidth="1"/>
    <col min="13322" max="13323" width="0" style="245" hidden="1" customWidth="1"/>
    <col min="13324" max="13324" width="20.875" style="245" customWidth="1"/>
    <col min="13325" max="13575" width="8" style="245" customWidth="1"/>
    <col min="13576" max="13576" width="0" style="245" hidden="1" customWidth="1"/>
    <col min="13577" max="13577" width="75" style="245" customWidth="1"/>
    <col min="13578" max="13579" width="0" style="245" hidden="1" customWidth="1"/>
    <col min="13580" max="13580" width="20.875" style="245" customWidth="1"/>
    <col min="13581" max="13831" width="8" style="245" customWidth="1"/>
    <col min="13832" max="13832" width="0" style="245" hidden="1" customWidth="1"/>
    <col min="13833" max="13833" width="75" style="245" customWidth="1"/>
    <col min="13834" max="13835" width="0" style="245" hidden="1" customWidth="1"/>
    <col min="13836" max="13836" width="20.875" style="245" customWidth="1"/>
    <col min="13837" max="14087" width="8" style="245" customWidth="1"/>
    <col min="14088" max="14088" width="0" style="245" hidden="1" customWidth="1"/>
    <col min="14089" max="14089" width="75" style="245" customWidth="1"/>
    <col min="14090" max="14091" width="0" style="245" hidden="1" customWidth="1"/>
    <col min="14092" max="14092" width="20.875" style="245" customWidth="1"/>
    <col min="14093" max="14343" width="8" style="245" customWidth="1"/>
    <col min="14344" max="14344" width="0" style="245" hidden="1" customWidth="1"/>
    <col min="14345" max="14345" width="75" style="245" customWidth="1"/>
    <col min="14346" max="14347" width="0" style="245" hidden="1" customWidth="1"/>
    <col min="14348" max="14348" width="20.875" style="245" customWidth="1"/>
    <col min="14349" max="14599" width="8" style="245" customWidth="1"/>
    <col min="14600" max="14600" width="0" style="245" hidden="1" customWidth="1"/>
    <col min="14601" max="14601" width="75" style="245" customWidth="1"/>
    <col min="14602" max="14603" width="0" style="245" hidden="1" customWidth="1"/>
    <col min="14604" max="14604" width="20.875" style="245" customWidth="1"/>
    <col min="14605" max="14855" width="8" style="245" customWidth="1"/>
    <col min="14856" max="14856" width="0" style="245" hidden="1" customWidth="1"/>
    <col min="14857" max="14857" width="75" style="245" customWidth="1"/>
    <col min="14858" max="14859" width="0" style="245" hidden="1" customWidth="1"/>
    <col min="14860" max="14860" width="20.875" style="245" customWidth="1"/>
    <col min="14861" max="15111" width="8" style="245" customWidth="1"/>
    <col min="15112" max="15112" width="0" style="245" hidden="1" customWidth="1"/>
    <col min="15113" max="15113" width="75" style="245" customWidth="1"/>
    <col min="15114" max="15115" width="0" style="245" hidden="1" customWidth="1"/>
    <col min="15116" max="15116" width="20.875" style="245" customWidth="1"/>
    <col min="15117" max="15367" width="8" style="245" customWidth="1"/>
    <col min="15368" max="15368" width="0" style="245" hidden="1" customWidth="1"/>
    <col min="15369" max="15369" width="75" style="245" customWidth="1"/>
    <col min="15370" max="15371" width="0" style="245" hidden="1" customWidth="1"/>
    <col min="15372" max="15372" width="20.875" style="245" customWidth="1"/>
    <col min="15373" max="15623" width="8" style="245" customWidth="1"/>
    <col min="15624" max="15624" width="0" style="245" hidden="1" customWidth="1"/>
    <col min="15625" max="15625" width="75" style="245" customWidth="1"/>
    <col min="15626" max="15627" width="0" style="245" hidden="1" customWidth="1"/>
    <col min="15628" max="15628" width="20.875" style="245" customWidth="1"/>
    <col min="15629" max="15879" width="8" style="245" customWidth="1"/>
    <col min="15880" max="15880" width="0" style="245" hidden="1" customWidth="1"/>
    <col min="15881" max="15881" width="75" style="245" customWidth="1"/>
    <col min="15882" max="15883" width="0" style="245" hidden="1" customWidth="1"/>
    <col min="15884" max="15884" width="20.875" style="245" customWidth="1"/>
    <col min="15885" max="16135" width="8" style="245" customWidth="1"/>
    <col min="16136" max="16136" width="0" style="245" hidden="1" customWidth="1"/>
    <col min="16137" max="16137" width="75" style="245" customWidth="1"/>
    <col min="16138" max="16139" width="0" style="245" hidden="1" customWidth="1"/>
    <col min="16140" max="16140" width="20.875" style="245" customWidth="1"/>
    <col min="16141" max="16384" width="8" style="245" customWidth="1"/>
  </cols>
  <sheetData>
    <row r="1" spans="1:17" ht="54" customHeight="1" x14ac:dyDescent="0.2">
      <c r="B1" s="1379" t="s">
        <v>623</v>
      </c>
      <c r="C1" s="1379"/>
      <c r="D1" s="1379"/>
      <c r="E1" s="1379"/>
      <c r="F1" s="1379"/>
      <c r="G1" s="1379"/>
      <c r="H1" s="1379"/>
      <c r="I1" s="1379"/>
      <c r="J1" s="1379"/>
      <c r="K1" s="1379"/>
      <c r="L1" s="1379"/>
      <c r="M1" s="1379"/>
      <c r="N1" s="1379"/>
      <c r="O1" s="1379"/>
      <c r="P1" s="1379"/>
      <c r="Q1" s="257"/>
    </row>
    <row r="2" spans="1:17" ht="36.75" customHeight="1" x14ac:dyDescent="0.2">
      <c r="B2" s="1380" t="s">
        <v>723</v>
      </c>
      <c r="C2" s="1380"/>
      <c r="D2" s="1380"/>
      <c r="E2" s="1380"/>
      <c r="F2" s="1380"/>
      <c r="G2" s="1380"/>
      <c r="H2" s="1380"/>
      <c r="I2" s="1380"/>
      <c r="J2" s="1380"/>
      <c r="K2" s="1380"/>
      <c r="L2" s="1380"/>
      <c r="M2" s="1380"/>
      <c r="N2" s="1380"/>
      <c r="O2" s="1380"/>
      <c r="P2" s="1380"/>
      <c r="Q2" s="258"/>
    </row>
    <row r="3" spans="1:17" ht="36.75" customHeight="1" x14ac:dyDescent="0.2">
      <c r="B3" s="837"/>
      <c r="C3" s="862">
        <f>B4/C8*100</f>
        <v>99.958419346316788</v>
      </c>
      <c r="D3" s="837"/>
      <c r="E3" s="837"/>
      <c r="F3" s="837"/>
      <c r="G3" s="837"/>
      <c r="H3" s="837"/>
      <c r="I3" s="924" t="s">
        <v>367</v>
      </c>
      <c r="J3" s="837"/>
      <c r="K3" s="924" t="s">
        <v>368</v>
      </c>
      <c r="L3" s="837"/>
      <c r="M3" s="925" t="s">
        <v>725</v>
      </c>
      <c r="N3" s="837"/>
      <c r="O3" s="837"/>
      <c r="P3" s="894"/>
      <c r="Q3" s="258"/>
    </row>
    <row r="4" spans="1:17" ht="39.75" customHeight="1" x14ac:dyDescent="0.2">
      <c r="B4" s="923">
        <v>219834653.28999999</v>
      </c>
      <c r="C4" s="863" t="s">
        <v>690</v>
      </c>
      <c r="D4" s="299"/>
      <c r="E4" s="299"/>
      <c r="F4" s="605"/>
      <c r="G4" s="509"/>
      <c r="H4" s="509"/>
      <c r="I4" s="561">
        <f>I8/C8*100</f>
        <v>68.666111612036957</v>
      </c>
      <c r="J4" s="562"/>
      <c r="K4" s="563">
        <f>K8/C8*100</f>
        <v>31.292307734279834</v>
      </c>
      <c r="L4" s="562"/>
      <c r="M4" s="561">
        <f>M8/C8*100</f>
        <v>4.1580653683214501E-2</v>
      </c>
      <c r="N4" s="562"/>
      <c r="O4" s="562"/>
      <c r="P4" s="564" t="s">
        <v>363</v>
      </c>
      <c r="Q4" s="259"/>
    </row>
    <row r="5" spans="1:17" s="247" customFormat="1" ht="28.5" customHeight="1" x14ac:dyDescent="0.2">
      <c r="A5" s="1381" t="s">
        <v>507</v>
      </c>
      <c r="B5" s="517" t="s">
        <v>364</v>
      </c>
      <c r="C5" s="274" t="s">
        <v>201</v>
      </c>
      <c r="D5" s="267"/>
      <c r="E5" s="267"/>
      <c r="F5" s="274" t="s">
        <v>192</v>
      </c>
      <c r="G5" s="1382" t="s">
        <v>454</v>
      </c>
      <c r="H5" s="1383"/>
      <c r="I5" s="1384" t="s">
        <v>365</v>
      </c>
      <c r="J5" s="1385"/>
      <c r="K5" s="1385"/>
      <c r="L5" s="1386"/>
      <c r="M5" s="1382" t="s">
        <v>521</v>
      </c>
      <c r="N5" s="1383"/>
      <c r="O5" s="1389" t="s">
        <v>29</v>
      </c>
      <c r="P5" s="1391" t="s">
        <v>380</v>
      </c>
      <c r="Q5" s="864"/>
    </row>
    <row r="6" spans="1:17" s="247" customFormat="1" ht="36" customHeight="1" x14ac:dyDescent="0.2">
      <c r="A6" s="1381"/>
      <c r="B6" s="518" t="s">
        <v>366</v>
      </c>
      <c r="C6" s="275"/>
      <c r="D6" s="267"/>
      <c r="E6" s="267"/>
      <c r="F6" s="276"/>
      <c r="G6" s="273" t="s">
        <v>562</v>
      </c>
      <c r="H6" s="273" t="s">
        <v>563</v>
      </c>
      <c r="I6" s="277" t="s">
        <v>367</v>
      </c>
      <c r="J6" s="277"/>
      <c r="K6" s="273" t="s">
        <v>368</v>
      </c>
      <c r="L6" s="278"/>
      <c r="M6" s="1387"/>
      <c r="N6" s="1388"/>
      <c r="O6" s="1390"/>
      <c r="P6" s="1392"/>
      <c r="Q6" s="261"/>
    </row>
    <row r="7" spans="1:17" ht="20.25" hidden="1" customHeight="1" x14ac:dyDescent="0.2">
      <c r="A7" s="1381"/>
      <c r="B7" s="279" t="s">
        <v>369</v>
      </c>
      <c r="C7" s="265">
        <f>SUMIF(D7:D8,2,C7:C8)</f>
        <v>0</v>
      </c>
      <c r="D7" s="265">
        <f>SUMIF(E7:E8,2,D7:D8)</f>
        <v>0</v>
      </c>
      <c r="E7" s="265">
        <f>SUMIF(I7:I8,2,E7:E8)</f>
        <v>0</v>
      </c>
      <c r="F7" s="265"/>
      <c r="G7" s="265"/>
      <c r="H7" s="265"/>
      <c r="I7" s="265">
        <f>SUMIF(K7:K8,2,I7:I8)</f>
        <v>0</v>
      </c>
      <c r="J7" s="266"/>
      <c r="K7" s="266" t="e">
        <f>SUMIF(#REF!,2,K7:K8)</f>
        <v>#REF!</v>
      </c>
      <c r="L7" s="267"/>
      <c r="M7" s="280">
        <f>518000-M8</f>
        <v>426553.29</v>
      </c>
      <c r="N7" s="278"/>
      <c r="O7" s="278"/>
      <c r="P7" s="280">
        <f>C8-P8</f>
        <v>0</v>
      </c>
      <c r="Q7" s="262"/>
    </row>
    <row r="8" spans="1:17" s="716" customFormat="1" ht="30.75" customHeight="1" x14ac:dyDescent="0.2">
      <c r="A8" s="709"/>
      <c r="B8" s="710" t="s">
        <v>624</v>
      </c>
      <c r="C8" s="711">
        <f>C9+C20+C27+C31</f>
        <v>219926100</v>
      </c>
      <c r="D8" s="711">
        <f t="shared" ref="D8:M8" si="0">D9+D20+D27+D31</f>
        <v>88</v>
      </c>
      <c r="E8" s="711">
        <f t="shared" si="0"/>
        <v>0</v>
      </c>
      <c r="F8" s="711">
        <f t="shared" si="0"/>
        <v>0</v>
      </c>
      <c r="G8" s="711">
        <f t="shared" si="0"/>
        <v>181328630.21000001</v>
      </c>
      <c r="H8" s="711">
        <f t="shared" si="0"/>
        <v>31359222.210000001</v>
      </c>
      <c r="I8" s="712">
        <f t="shared" si="0"/>
        <v>151014701.29000002</v>
      </c>
      <c r="J8" s="712">
        <f t="shared" si="0"/>
        <v>1304.2479898273914</v>
      </c>
      <c r="K8" s="712">
        <f t="shared" si="0"/>
        <v>68819952</v>
      </c>
      <c r="L8" s="712">
        <f t="shared" si="0"/>
        <v>242.99217044745569</v>
      </c>
      <c r="M8" s="712">
        <f t="shared" si="0"/>
        <v>91446.71</v>
      </c>
      <c r="N8" s="713">
        <f t="shared" ref="N8:N14" si="1">M8/C8*100</f>
        <v>4.1580653683214501E-2</v>
      </c>
      <c r="O8" s="713">
        <f>J8+L8+N8</f>
        <v>1547.2817409285303</v>
      </c>
      <c r="P8" s="714">
        <f>I8+K8+M8</f>
        <v>219926100.00000003</v>
      </c>
      <c r="Q8" s="715">
        <f>C8-P8</f>
        <v>0</v>
      </c>
    </row>
    <row r="9" spans="1:17" ht="35.25" customHeight="1" x14ac:dyDescent="0.2">
      <c r="A9" s="839"/>
      <c r="B9" s="843" t="s">
        <v>625</v>
      </c>
      <c r="C9" s="844">
        <f>C10+C11+C12+C13+C14+C15+C16+C17+C18+C19</f>
        <v>24554400</v>
      </c>
      <c r="D9" s="844">
        <f t="shared" ref="D9:M9" si="2">D10+D11+D12+D13+D14+D15+D16+D17+D18+D19</f>
        <v>35</v>
      </c>
      <c r="E9" s="844">
        <f t="shared" si="2"/>
        <v>0</v>
      </c>
      <c r="F9" s="844"/>
      <c r="G9" s="844">
        <f t="shared" si="2"/>
        <v>17811630.210000001</v>
      </c>
      <c r="H9" s="844">
        <f t="shared" si="2"/>
        <v>5250740</v>
      </c>
      <c r="I9" s="845">
        <f t="shared" si="2"/>
        <v>23994870.210000001</v>
      </c>
      <c r="J9" s="845">
        <f t="shared" si="2"/>
        <v>696.81500173909365</v>
      </c>
      <c r="K9" s="845">
        <f t="shared" si="2"/>
        <v>500000.00000000006</v>
      </c>
      <c r="L9" s="845">
        <f t="shared" si="2"/>
        <v>2.0575639427021735E-15</v>
      </c>
      <c r="M9" s="845">
        <f t="shared" si="2"/>
        <v>59529.79</v>
      </c>
      <c r="N9" s="846">
        <f t="shared" si="1"/>
        <v>0.24244041801062133</v>
      </c>
      <c r="O9" s="846">
        <f>J9+L9+N9</f>
        <v>697.05744215710422</v>
      </c>
      <c r="P9" s="847"/>
      <c r="Q9" s="717">
        <f>I9+K9+M9</f>
        <v>24554400</v>
      </c>
    </row>
    <row r="10" spans="1:17" s="255" customFormat="1" ht="209.25" customHeight="1" outlineLevel="1" x14ac:dyDescent="0.2">
      <c r="A10" s="816">
        <v>1</v>
      </c>
      <c r="B10" s="817" t="s">
        <v>664</v>
      </c>
      <c r="C10" s="818">
        <v>1768100</v>
      </c>
      <c r="D10" s="512">
        <v>5</v>
      </c>
      <c r="E10" s="512"/>
      <c r="F10" s="651" t="s">
        <v>372</v>
      </c>
      <c r="G10" s="283">
        <f>I10</f>
        <v>1748630.21</v>
      </c>
      <c r="H10" s="283">
        <v>0</v>
      </c>
      <c r="I10" s="759">
        <f>1320000+428630.21</f>
        <v>1748630.21</v>
      </c>
      <c r="J10" s="819">
        <f t="shared" ref="J10:J21" si="3">I10/C10*100</f>
        <v>98.898829817318017</v>
      </c>
      <c r="K10" s="283">
        <f>C10-I10-M10</f>
        <v>3.637978807091713E-11</v>
      </c>
      <c r="L10" s="284">
        <f>K10/C10*100</f>
        <v>2.0575639427021735E-15</v>
      </c>
      <c r="M10" s="285">
        <v>19469.79</v>
      </c>
      <c r="N10" s="820">
        <f t="shared" si="1"/>
        <v>1.1011701826819751</v>
      </c>
      <c r="O10" s="821">
        <f>I10+L10+N10</f>
        <v>1748631.3111701827</v>
      </c>
      <c r="P10" s="513" t="s">
        <v>712</v>
      </c>
      <c r="Q10" s="838">
        <f>141000-71200-67800-2000</f>
        <v>0</v>
      </c>
    </row>
    <row r="11" spans="1:17" ht="194.25" customHeight="1" outlineLevel="1" x14ac:dyDescent="0.2">
      <c r="A11" s="248">
        <v>2</v>
      </c>
      <c r="B11" s="726" t="s">
        <v>682</v>
      </c>
      <c r="C11" s="286">
        <v>2561000</v>
      </c>
      <c r="D11" s="287">
        <v>5</v>
      </c>
      <c r="E11" s="287"/>
      <c r="F11" s="248" t="s">
        <v>626</v>
      </c>
      <c r="G11" s="288">
        <v>0</v>
      </c>
      <c r="H11" s="288">
        <v>2359000</v>
      </c>
      <c r="I11" s="289">
        <f>2359000+200000</f>
        <v>2559000</v>
      </c>
      <c r="J11" s="727">
        <f t="shared" si="3"/>
        <v>99.92190550566184</v>
      </c>
      <c r="K11" s="288">
        <v>0</v>
      </c>
      <c r="L11" s="728">
        <f>K11/C11*100</f>
        <v>0</v>
      </c>
      <c r="M11" s="729">
        <v>2000</v>
      </c>
      <c r="N11" s="730">
        <f t="shared" si="1"/>
        <v>7.8094494338149162E-2</v>
      </c>
      <c r="O11" s="730">
        <f>J11+L11+N11</f>
        <v>99.999999999999986</v>
      </c>
      <c r="P11" s="287" t="s">
        <v>731</v>
      </c>
      <c r="Q11" s="519" t="s">
        <v>681</v>
      </c>
    </row>
    <row r="12" spans="1:17" s="255" customFormat="1" ht="213.75" customHeight="1" outlineLevel="1" x14ac:dyDescent="0.2">
      <c r="A12" s="651">
        <v>3</v>
      </c>
      <c r="B12" s="282" t="s">
        <v>665</v>
      </c>
      <c r="C12" s="290">
        <v>5725900</v>
      </c>
      <c r="D12" s="281">
        <v>5</v>
      </c>
      <c r="E12" s="281"/>
      <c r="F12" s="822" t="s">
        <v>627</v>
      </c>
      <c r="G12" s="283">
        <v>5580000</v>
      </c>
      <c r="H12" s="283">
        <f>I12-G12</f>
        <v>136900</v>
      </c>
      <c r="I12" s="283">
        <f>136900+5580000</f>
        <v>5716900</v>
      </c>
      <c r="J12" s="819">
        <f t="shared" si="3"/>
        <v>99.842819469428392</v>
      </c>
      <c r="K12" s="787">
        <f>C12-I12-M12</f>
        <v>0</v>
      </c>
      <c r="L12" s="281">
        <f>K12/C12*100</f>
        <v>0</v>
      </c>
      <c r="M12" s="786">
        <v>9000</v>
      </c>
      <c r="N12" s="787">
        <f t="shared" si="1"/>
        <v>0.15718053057161319</v>
      </c>
      <c r="O12" s="787">
        <f>J12+L12+N12</f>
        <v>100</v>
      </c>
      <c r="P12" s="512" t="s">
        <v>628</v>
      </c>
      <c r="Q12" s="823"/>
    </row>
    <row r="13" spans="1:17" ht="293.45" customHeight="1" outlineLevel="1" x14ac:dyDescent="0.2">
      <c r="A13" s="728">
        <v>4</v>
      </c>
      <c r="B13" s="726" t="s">
        <v>629</v>
      </c>
      <c r="C13" s="286">
        <v>868100</v>
      </c>
      <c r="D13" s="287">
        <v>5</v>
      </c>
      <c r="E13" s="287"/>
      <c r="F13" s="249" t="s">
        <v>372</v>
      </c>
      <c r="G13" s="288">
        <v>0</v>
      </c>
      <c r="H13" s="288">
        <v>800900</v>
      </c>
      <c r="I13" s="289">
        <v>860900</v>
      </c>
      <c r="J13" s="289">
        <f t="shared" si="3"/>
        <v>99.170602465153777</v>
      </c>
      <c r="K13" s="288">
        <v>0</v>
      </c>
      <c r="L13" s="733">
        <f>K13/C13*100</f>
        <v>0</v>
      </c>
      <c r="M13" s="730">
        <v>7200</v>
      </c>
      <c r="N13" s="733">
        <f t="shared" si="1"/>
        <v>0.82939753484621592</v>
      </c>
      <c r="O13" s="734">
        <f>J13+L13+N13</f>
        <v>100</v>
      </c>
      <c r="P13" s="270" t="s">
        <v>726</v>
      </c>
      <c r="Q13" s="781">
        <f>I13+M13</f>
        <v>868100</v>
      </c>
    </row>
    <row r="14" spans="1:17" ht="273.75" customHeight="1" outlineLevel="1" x14ac:dyDescent="0.2">
      <c r="A14" s="248">
        <v>5</v>
      </c>
      <c r="B14" s="735" t="s">
        <v>630</v>
      </c>
      <c r="C14" s="736">
        <v>1653600</v>
      </c>
      <c r="D14" s="270">
        <v>5</v>
      </c>
      <c r="E14" s="270"/>
      <c r="F14" s="249" t="s">
        <v>631</v>
      </c>
      <c r="G14" s="737">
        <v>495000</v>
      </c>
      <c r="H14" s="737">
        <f>I14-G14</f>
        <v>1142740</v>
      </c>
      <c r="I14" s="738">
        <v>1637740</v>
      </c>
      <c r="J14" s="738">
        <f t="shared" si="3"/>
        <v>99.040880503144663</v>
      </c>
      <c r="K14" s="288">
        <v>0</v>
      </c>
      <c r="L14" s="270">
        <f>K14/C14*100</f>
        <v>0</v>
      </c>
      <c r="M14" s="737">
        <f>1660+14200</f>
        <v>15860</v>
      </c>
      <c r="N14" s="739">
        <f t="shared" si="1"/>
        <v>0.95911949685534592</v>
      </c>
      <c r="O14" s="271">
        <f>J14+L14+N14</f>
        <v>100.00000000000001</v>
      </c>
      <c r="P14" s="249" t="s">
        <v>683</v>
      </c>
      <c r="Q14" s="781">
        <f>I14+M14</f>
        <v>1653600</v>
      </c>
    </row>
    <row r="15" spans="1:17" s="255" customFormat="1" ht="60" customHeight="1" outlineLevel="1" x14ac:dyDescent="0.2">
      <c r="A15" s="651">
        <v>6</v>
      </c>
      <c r="B15" s="817" t="s">
        <v>632</v>
      </c>
      <c r="C15" s="818">
        <v>740000</v>
      </c>
      <c r="D15" s="512">
        <v>5</v>
      </c>
      <c r="E15" s="512"/>
      <c r="F15" s="513" t="s">
        <v>372</v>
      </c>
      <c r="G15" s="293">
        <v>0</v>
      </c>
      <c r="H15" s="293">
        <v>740000</v>
      </c>
      <c r="I15" s="652">
        <f>740000</f>
        <v>740000</v>
      </c>
      <c r="J15" s="652">
        <f t="shared" si="3"/>
        <v>100</v>
      </c>
      <c r="K15" s="824">
        <f>C15-I15</f>
        <v>0</v>
      </c>
      <c r="L15" s="816"/>
      <c r="M15" s="825">
        <v>0</v>
      </c>
      <c r="N15" s="816"/>
      <c r="O15" s="821">
        <f>J15</f>
        <v>100</v>
      </c>
      <c r="P15" s="281" t="s">
        <v>633</v>
      </c>
      <c r="Q15" s="263"/>
    </row>
    <row r="16" spans="1:17" s="255" customFormat="1" ht="90" customHeight="1" outlineLevel="1" x14ac:dyDescent="0.2">
      <c r="A16" s="651">
        <v>7</v>
      </c>
      <c r="B16" s="817" t="s">
        <v>666</v>
      </c>
      <c r="C16" s="818">
        <v>9994000</v>
      </c>
      <c r="D16" s="512">
        <v>5</v>
      </c>
      <c r="E16" s="512"/>
      <c r="F16" s="512" t="s">
        <v>634</v>
      </c>
      <c r="G16" s="293">
        <v>9988000</v>
      </c>
      <c r="H16" s="293">
        <v>0</v>
      </c>
      <c r="I16" s="652">
        <v>9988000</v>
      </c>
      <c r="J16" s="652">
        <f t="shared" si="3"/>
        <v>99.939963978387041</v>
      </c>
      <c r="K16" s="824">
        <v>0</v>
      </c>
      <c r="L16" s="816"/>
      <c r="M16" s="826">
        <v>6000</v>
      </c>
      <c r="N16" s="826">
        <f t="shared" ref="N16:N25" si="4">M16/C16*100</f>
        <v>6.0036021612967783E-2</v>
      </c>
      <c r="O16" s="826">
        <f>J16+N16</f>
        <v>100.00000000000001</v>
      </c>
      <c r="P16" s="281" t="s">
        <v>635</v>
      </c>
      <c r="Q16" s="753"/>
    </row>
    <row r="17" spans="1:18" s="255" customFormat="1" ht="82.5" customHeight="1" outlineLevel="1" x14ac:dyDescent="0.2">
      <c r="A17" s="741"/>
      <c r="B17" s="742" t="s">
        <v>713</v>
      </c>
      <c r="C17" s="743">
        <v>71200</v>
      </c>
      <c r="D17" s="744"/>
      <c r="E17" s="744"/>
      <c r="F17" s="745" t="s">
        <v>372</v>
      </c>
      <c r="G17" s="746"/>
      <c r="H17" s="747">
        <v>71200</v>
      </c>
      <c r="I17" s="748">
        <f>60800+8000+2400</f>
        <v>71200</v>
      </c>
      <c r="J17" s="748"/>
      <c r="K17" s="749">
        <v>0</v>
      </c>
      <c r="L17" s="750"/>
      <c r="M17" s="751">
        <v>0</v>
      </c>
      <c r="N17" s="751"/>
      <c r="O17" s="751"/>
      <c r="P17" s="752" t="s">
        <v>635</v>
      </c>
      <c r="Q17" s="753"/>
    </row>
    <row r="18" spans="1:18" s="802" customFormat="1" ht="101.25" customHeight="1" x14ac:dyDescent="0.2">
      <c r="A18" s="762"/>
      <c r="B18" s="804" t="s">
        <v>732</v>
      </c>
      <c r="C18" s="805">
        <v>518000</v>
      </c>
      <c r="D18" s="806"/>
      <c r="E18" s="806"/>
      <c r="F18" s="814" t="s">
        <v>595</v>
      </c>
      <c r="G18" s="805"/>
      <c r="H18" s="805"/>
      <c r="I18" s="807">
        <v>18000</v>
      </c>
      <c r="J18" s="807"/>
      <c r="K18" s="805">
        <f>C18-I18</f>
        <v>500000</v>
      </c>
      <c r="L18" s="806"/>
      <c r="M18" s="806">
        <v>0</v>
      </c>
      <c r="N18" s="806"/>
      <c r="O18" s="808"/>
      <c r="P18" s="806" t="s">
        <v>733</v>
      </c>
      <c r="Q18" s="800"/>
    </row>
    <row r="19" spans="1:18" s="802" customFormat="1" ht="83.25" customHeight="1" x14ac:dyDescent="0.2">
      <c r="A19" s="791"/>
      <c r="B19" s="801" t="s">
        <v>724</v>
      </c>
      <c r="C19" s="794">
        <v>654500</v>
      </c>
      <c r="D19" s="752"/>
      <c r="E19" s="752"/>
      <c r="F19" s="803" t="s">
        <v>594</v>
      </c>
      <c r="G19" s="794"/>
      <c r="H19" s="794"/>
      <c r="I19" s="795">
        <f>574500+80000</f>
        <v>654500</v>
      </c>
      <c r="J19" s="795"/>
      <c r="K19" s="794">
        <f>C19-I19</f>
        <v>0</v>
      </c>
      <c r="L19" s="752"/>
      <c r="M19" s="752">
        <v>0</v>
      </c>
      <c r="N19" s="752"/>
      <c r="O19" s="798"/>
      <c r="P19" s="806" t="s">
        <v>734</v>
      </c>
      <c r="Q19" s="800"/>
    </row>
    <row r="20" spans="1:18" ht="57" customHeight="1" x14ac:dyDescent="0.2">
      <c r="A20" s="839"/>
      <c r="B20" s="840" t="s">
        <v>370</v>
      </c>
      <c r="C20" s="841">
        <f>C21+C22+C23+C24+C25+C26</f>
        <v>82278900</v>
      </c>
      <c r="D20" s="841">
        <f t="shared" ref="D20:M20" si="5">D21+D22+D23+D24+D25+D26</f>
        <v>25</v>
      </c>
      <c r="E20" s="841">
        <f t="shared" si="5"/>
        <v>0</v>
      </c>
      <c r="F20" s="841"/>
      <c r="G20" s="841">
        <f t="shared" si="5"/>
        <v>66969000</v>
      </c>
      <c r="H20" s="841">
        <f t="shared" si="5"/>
        <v>13963210</v>
      </c>
      <c r="I20" s="841">
        <f t="shared" si="5"/>
        <v>52190068</v>
      </c>
      <c r="J20" s="841">
        <f t="shared" si="5"/>
        <v>284.50388320334361</v>
      </c>
      <c r="K20" s="841">
        <f t="shared" si="5"/>
        <v>30078632</v>
      </c>
      <c r="L20" s="841">
        <f t="shared" si="5"/>
        <v>84.971623702712535</v>
      </c>
      <c r="M20" s="841">
        <f t="shared" si="5"/>
        <v>10200</v>
      </c>
      <c r="N20" s="842">
        <f t="shared" si="4"/>
        <v>1.2396859948297801E-2</v>
      </c>
      <c r="O20" s="842"/>
      <c r="P20" s="855">
        <f>I20+K20+M20</f>
        <v>82278900</v>
      </c>
      <c r="Q20" s="514">
        <f>82278900-P20</f>
        <v>0</v>
      </c>
    </row>
    <row r="21" spans="1:18" s="725" customFormat="1" ht="380.25" customHeight="1" outlineLevel="1" x14ac:dyDescent="0.2">
      <c r="A21" s="720">
        <v>8</v>
      </c>
      <c r="B21" s="754" t="s">
        <v>684</v>
      </c>
      <c r="C21" s="731">
        <v>5443400</v>
      </c>
      <c r="D21" s="719">
        <v>5</v>
      </c>
      <c r="E21" s="719"/>
      <c r="F21" s="895" t="s">
        <v>636</v>
      </c>
      <c r="G21" s="740"/>
      <c r="H21" s="740">
        <f>3952400+1510900-562870</f>
        <v>4900430</v>
      </c>
      <c r="I21" s="722">
        <f>3952400+790900</f>
        <v>4743300</v>
      </c>
      <c r="J21" s="722">
        <f t="shared" si="3"/>
        <v>87.138553110188482</v>
      </c>
      <c r="K21" s="721">
        <f>C21-I21-M21</f>
        <v>699000</v>
      </c>
      <c r="L21" s="732">
        <f t="shared" ref="L21:L30" si="6">K21/C21*100</f>
        <v>12.841238931550134</v>
      </c>
      <c r="M21" s="909">
        <v>1100</v>
      </c>
      <c r="N21" s="756">
        <f t="shared" si="4"/>
        <v>2.0207958261380755E-2</v>
      </c>
      <c r="O21" s="755">
        <f>J21+L21+N21</f>
        <v>100</v>
      </c>
      <c r="P21" s="896" t="s">
        <v>735</v>
      </c>
      <c r="Q21" s="757" t="s">
        <v>685</v>
      </c>
    </row>
    <row r="22" spans="1:18" ht="201.6" customHeight="1" outlineLevel="1" x14ac:dyDescent="0.2">
      <c r="A22" s="248">
        <v>9</v>
      </c>
      <c r="B22" s="515" t="s">
        <v>371</v>
      </c>
      <c r="C22" s="286">
        <v>4244500</v>
      </c>
      <c r="D22" s="287">
        <v>5</v>
      </c>
      <c r="E22" s="287"/>
      <c r="F22" s="270" t="s">
        <v>509</v>
      </c>
      <c r="G22" s="288">
        <v>0</v>
      </c>
      <c r="H22" s="288">
        <v>4244500</v>
      </c>
      <c r="I22" s="289">
        <v>4244500</v>
      </c>
      <c r="J22" s="289"/>
      <c r="K22" s="520">
        <v>0</v>
      </c>
      <c r="L22" s="288">
        <f t="shared" si="6"/>
        <v>0</v>
      </c>
      <c r="M22" s="288">
        <v>0</v>
      </c>
      <c r="N22" s="739">
        <f t="shared" si="4"/>
        <v>0</v>
      </c>
      <c r="O22" s="271">
        <f>J22+L22+N22</f>
        <v>0</v>
      </c>
      <c r="P22" s="270" t="s">
        <v>637</v>
      </c>
      <c r="Q22" s="519" t="s">
        <v>686</v>
      </c>
      <c r="R22" s="526"/>
    </row>
    <row r="23" spans="1:18" ht="345.75" customHeight="1" outlineLevel="1" x14ac:dyDescent="0.2">
      <c r="A23" s="248">
        <v>10</v>
      </c>
      <c r="B23" s="726" t="s">
        <v>638</v>
      </c>
      <c r="C23" s="286">
        <v>4938000</v>
      </c>
      <c r="D23" s="270">
        <v>5</v>
      </c>
      <c r="E23" s="270"/>
      <c r="F23" s="249" t="s">
        <v>639</v>
      </c>
      <c r="G23" s="737">
        <v>0</v>
      </c>
      <c r="H23" s="737">
        <f>4062150+756130</f>
        <v>4818280</v>
      </c>
      <c r="I23" s="289">
        <v>4807900</v>
      </c>
      <c r="J23" s="289">
        <f>I23/C23*100</f>
        <v>97.365330093155123</v>
      </c>
      <c r="K23" s="288">
        <f>C23-I23-M23</f>
        <v>121000</v>
      </c>
      <c r="L23" s="733">
        <f t="shared" si="6"/>
        <v>2.450384771162414</v>
      </c>
      <c r="M23" s="730">
        <v>9100</v>
      </c>
      <c r="N23" s="758">
        <f t="shared" si="4"/>
        <v>0.18428513568246255</v>
      </c>
      <c r="O23" s="758">
        <f>J23+L23+N23</f>
        <v>100</v>
      </c>
      <c r="P23" s="249" t="s">
        <v>736</v>
      </c>
      <c r="Q23" s="519" t="s">
        <v>687</v>
      </c>
      <c r="R23" s="860"/>
    </row>
    <row r="24" spans="1:18" s="255" customFormat="1" ht="97.5" customHeight="1" outlineLevel="1" x14ac:dyDescent="0.2">
      <c r="A24" s="291">
        <v>11</v>
      </c>
      <c r="B24" s="282" t="s">
        <v>640</v>
      </c>
      <c r="C24" s="290">
        <v>41990000</v>
      </c>
      <c r="D24" s="281">
        <v>5</v>
      </c>
      <c r="E24" s="281"/>
      <c r="F24" s="512" t="s">
        <v>279</v>
      </c>
      <c r="G24" s="283">
        <v>41990000</v>
      </c>
      <c r="H24" s="283">
        <v>0</v>
      </c>
      <c r="I24" s="759">
        <f>2846922+9884446</f>
        <v>12731368</v>
      </c>
      <c r="J24" s="759"/>
      <c r="K24" s="283">
        <f>G24-I24</f>
        <v>29258632</v>
      </c>
      <c r="L24" s="285">
        <f t="shared" si="6"/>
        <v>69.679999999999993</v>
      </c>
      <c r="M24" s="285">
        <v>0</v>
      </c>
      <c r="N24" s="284">
        <f t="shared" si="4"/>
        <v>0</v>
      </c>
      <c r="O24" s="292">
        <f>J24+L24+N24</f>
        <v>69.679999999999993</v>
      </c>
      <c r="P24" s="281" t="s">
        <v>739</v>
      </c>
      <c r="Q24" s="519" t="s">
        <v>688</v>
      </c>
    </row>
    <row r="25" spans="1:18" s="725" customFormat="1" ht="95.25" customHeight="1" outlineLevel="1" x14ac:dyDescent="0.2">
      <c r="A25" s="760">
        <v>12</v>
      </c>
      <c r="B25" s="718" t="s">
        <v>641</v>
      </c>
      <c r="C25" s="731">
        <v>24979000</v>
      </c>
      <c r="D25" s="732">
        <v>5</v>
      </c>
      <c r="E25" s="732"/>
      <c r="F25" s="719" t="s">
        <v>279</v>
      </c>
      <c r="G25" s="740">
        <v>24979000</v>
      </c>
      <c r="H25" s="740"/>
      <c r="I25" s="722">
        <f>3746850+21232150</f>
        <v>24979000</v>
      </c>
      <c r="J25" s="722">
        <f>I25/C25*100</f>
        <v>100</v>
      </c>
      <c r="K25" s="721">
        <f>C25-I25-M25</f>
        <v>0</v>
      </c>
      <c r="L25" s="723">
        <f t="shared" si="6"/>
        <v>0</v>
      </c>
      <c r="M25" s="724"/>
      <c r="N25" s="760">
        <f t="shared" si="4"/>
        <v>0</v>
      </c>
      <c r="O25" s="761">
        <f>J25+L25+N25</f>
        <v>100</v>
      </c>
      <c r="P25" s="732" t="s">
        <v>642</v>
      </c>
      <c r="Q25" s="519" t="s">
        <v>689</v>
      </c>
    </row>
    <row r="26" spans="1:18" s="255" customFormat="1" ht="172.5" customHeight="1" outlineLevel="1" x14ac:dyDescent="0.2">
      <c r="A26" s="762"/>
      <c r="B26" s="763" t="s">
        <v>557</v>
      </c>
      <c r="C26" s="764">
        <v>684000</v>
      </c>
      <c r="D26" s="765"/>
      <c r="E26" s="765"/>
      <c r="F26" s="766" t="s">
        <v>550</v>
      </c>
      <c r="G26" s="767">
        <v>0</v>
      </c>
      <c r="H26" s="768">
        <v>0</v>
      </c>
      <c r="I26" s="769">
        <f>484000+200000</f>
        <v>684000</v>
      </c>
      <c r="J26" s="769"/>
      <c r="K26" s="770">
        <f>C26-I26</f>
        <v>0</v>
      </c>
      <c r="L26" s="771"/>
      <c r="M26" s="772">
        <v>0</v>
      </c>
      <c r="N26" s="773"/>
      <c r="O26" s="774"/>
      <c r="P26" s="813" t="s">
        <v>730</v>
      </c>
      <c r="Q26" s="263"/>
    </row>
    <row r="27" spans="1:18" ht="45" customHeight="1" x14ac:dyDescent="0.2">
      <c r="A27" s="839"/>
      <c r="B27" s="848" t="s">
        <v>643</v>
      </c>
      <c r="C27" s="849">
        <f>SUMIF(D27:D30,5,C27:C30)</f>
        <v>14444400</v>
      </c>
      <c r="D27" s="850">
        <v>3</v>
      </c>
      <c r="E27" s="850"/>
      <c r="F27" s="850"/>
      <c r="G27" s="851">
        <f>G28+G29+G30</f>
        <v>0</v>
      </c>
      <c r="H27" s="851">
        <f>H28+H29+H30</f>
        <v>10544872.210000001</v>
      </c>
      <c r="I27" s="852">
        <f>I28+I29+I30</f>
        <v>13485683.08</v>
      </c>
      <c r="J27" s="853">
        <f>I27/C27*100</f>
        <v>93.362708592949517</v>
      </c>
      <c r="K27" s="851">
        <f>K28+K29+K30</f>
        <v>937000</v>
      </c>
      <c r="L27" s="854">
        <f t="shared" si="6"/>
        <v>6.4869430367478049</v>
      </c>
      <c r="M27" s="855">
        <f>M28+M29+M30</f>
        <v>21716.92</v>
      </c>
      <c r="N27" s="850"/>
      <c r="O27" s="850"/>
      <c r="P27" s="856">
        <f>I27+K27+M27</f>
        <v>14444400</v>
      </c>
      <c r="Q27" s="775"/>
    </row>
    <row r="28" spans="1:18" ht="72.75" customHeight="1" outlineLevel="1" x14ac:dyDescent="0.2">
      <c r="A28" s="248">
        <v>13</v>
      </c>
      <c r="B28" s="726" t="s">
        <v>644</v>
      </c>
      <c r="C28" s="776">
        <v>1741100</v>
      </c>
      <c r="D28" s="270">
        <v>5</v>
      </c>
      <c r="E28" s="270"/>
      <c r="F28" s="249" t="s">
        <v>645</v>
      </c>
      <c r="G28" s="288">
        <v>0</v>
      </c>
      <c r="H28" s="288">
        <v>1365275</v>
      </c>
      <c r="I28" s="903">
        <v>1741100</v>
      </c>
      <c r="J28" s="289">
        <f>I28/C28*100</f>
        <v>100</v>
      </c>
      <c r="K28" s="777">
        <f>C28-I28</f>
        <v>0</v>
      </c>
      <c r="L28" s="270">
        <f t="shared" si="6"/>
        <v>0</v>
      </c>
      <c r="M28" s="778">
        <v>0</v>
      </c>
      <c r="N28" s="779">
        <f>M28/C28*100</f>
        <v>0</v>
      </c>
      <c r="O28" s="271">
        <f>J28+L28+N28</f>
        <v>100</v>
      </c>
      <c r="P28" s="287" t="s">
        <v>711</v>
      </c>
      <c r="Q28" s="261"/>
    </row>
    <row r="29" spans="1:18" ht="72.75" customHeight="1" outlineLevel="1" x14ac:dyDescent="0.2">
      <c r="A29" s="248">
        <v>14</v>
      </c>
      <c r="B29" s="726" t="s">
        <v>646</v>
      </c>
      <c r="C29" s="776">
        <v>3703300</v>
      </c>
      <c r="D29" s="270">
        <v>5</v>
      </c>
      <c r="E29" s="270"/>
      <c r="F29" s="249" t="s">
        <v>647</v>
      </c>
      <c r="G29" s="288">
        <v>0</v>
      </c>
      <c r="H29" s="288">
        <v>3006766.04</v>
      </c>
      <c r="I29" s="903">
        <f>3635766.04+47100</f>
        <v>3682866.04</v>
      </c>
      <c r="J29" s="903">
        <f>I29/C29*100</f>
        <v>99.448222936300056</v>
      </c>
      <c r="K29" s="548">
        <f>C29-I29-M29</f>
        <v>-3.637978807091713E-11</v>
      </c>
      <c r="L29" s="904">
        <f t="shared" si="6"/>
        <v>-9.8236135530249049E-16</v>
      </c>
      <c r="M29" s="905">
        <f>5033.96+15400</f>
        <v>20433.96</v>
      </c>
      <c r="N29" s="780"/>
      <c r="O29" s="271">
        <f>J29+L29+N29</f>
        <v>99.448222936300056</v>
      </c>
      <c r="P29" s="287" t="s">
        <v>648</v>
      </c>
      <c r="Q29" s="261"/>
    </row>
    <row r="30" spans="1:18" ht="58.5" customHeight="1" outlineLevel="1" x14ac:dyDescent="0.2">
      <c r="A30" s="248"/>
      <c r="B30" s="726" t="s">
        <v>138</v>
      </c>
      <c r="C30" s="776">
        <v>9000000</v>
      </c>
      <c r="D30" s="270">
        <v>5</v>
      </c>
      <c r="E30" s="270"/>
      <c r="F30" s="270"/>
      <c r="G30" s="288"/>
      <c r="H30" s="288">
        <f>6163831.17+9000</f>
        <v>6172831.1699999999</v>
      </c>
      <c r="I30" s="903">
        <v>8061717.04</v>
      </c>
      <c r="J30" s="903">
        <f>I30/C30*100</f>
        <v>89.574633777777777</v>
      </c>
      <c r="K30" s="548">
        <f>C30-I30-M30</f>
        <v>937000</v>
      </c>
      <c r="L30" s="904">
        <f t="shared" si="6"/>
        <v>10.411111111111111</v>
      </c>
      <c r="M30" s="548">
        <v>1282.96</v>
      </c>
      <c r="N30" s="270"/>
      <c r="O30" s="271">
        <f>J30+L30+N30</f>
        <v>99.985744888888888</v>
      </c>
      <c r="P30" s="271"/>
      <c r="Q30" s="781">
        <f>P31-C31</f>
        <v>0</v>
      </c>
    </row>
    <row r="31" spans="1:18" ht="66.75" customHeight="1" x14ac:dyDescent="0.2">
      <c r="A31" s="839"/>
      <c r="B31" s="857" t="s">
        <v>649</v>
      </c>
      <c r="C31" s="858">
        <f>C32+C33+C34+C35+C36+C38+C39</f>
        <v>98648400</v>
      </c>
      <c r="D31" s="859">
        <f t="shared" ref="D31:M31" si="7">D32+D33+D34+D35+D36+D38+D39</f>
        <v>25</v>
      </c>
      <c r="E31" s="859">
        <f t="shared" si="7"/>
        <v>0</v>
      </c>
      <c r="F31" s="859"/>
      <c r="G31" s="859">
        <f t="shared" si="7"/>
        <v>96548000</v>
      </c>
      <c r="H31" s="859">
        <f t="shared" si="7"/>
        <v>1600400</v>
      </c>
      <c r="I31" s="858">
        <f t="shared" si="7"/>
        <v>61344080</v>
      </c>
      <c r="J31" s="858">
        <f t="shared" si="7"/>
        <v>229.56639629200464</v>
      </c>
      <c r="K31" s="858">
        <f t="shared" si="7"/>
        <v>37304320</v>
      </c>
      <c r="L31" s="859">
        <f t="shared" si="7"/>
        <v>151.53360370799535</v>
      </c>
      <c r="M31" s="859">
        <f t="shared" si="7"/>
        <v>0</v>
      </c>
      <c r="N31" s="859">
        <f>N32+N33+N34+N35+N36+N38+N39</f>
        <v>0</v>
      </c>
      <c r="O31" s="859">
        <f>O32+O33+O34+O35+O36+O38+O39</f>
        <v>381.1</v>
      </c>
      <c r="P31" s="859">
        <f>I31+K31</f>
        <v>98648400</v>
      </c>
      <c r="Q31" s="782">
        <f>Q33+Q34+Q35+Q36</f>
        <v>312000</v>
      </c>
    </row>
    <row r="32" spans="1:18" ht="77.25" customHeight="1" outlineLevel="1" x14ac:dyDescent="0.2">
      <c r="A32" s="728">
        <v>16</v>
      </c>
      <c r="B32" s="783" t="s">
        <v>650</v>
      </c>
      <c r="C32" s="286">
        <v>1288400</v>
      </c>
      <c r="D32" s="287">
        <v>5</v>
      </c>
      <c r="E32" s="287"/>
      <c r="F32" s="784" t="s">
        <v>651</v>
      </c>
      <c r="G32" s="288">
        <v>0</v>
      </c>
      <c r="H32" s="288">
        <v>1288400</v>
      </c>
      <c r="I32" s="903">
        <v>1288400</v>
      </c>
      <c r="J32" s="727">
        <v>100</v>
      </c>
      <c r="K32" s="785">
        <v>0</v>
      </c>
      <c r="L32" s="785">
        <v>0</v>
      </c>
      <c r="M32" s="785">
        <v>0</v>
      </c>
      <c r="N32" s="785">
        <v>0</v>
      </c>
      <c r="O32" s="785">
        <v>100</v>
      </c>
      <c r="P32" s="904" t="s">
        <v>652</v>
      </c>
      <c r="Q32" s="261"/>
    </row>
    <row r="33" spans="1:18" s="255" customFormat="1" ht="159" customHeight="1" outlineLevel="1" x14ac:dyDescent="0.2">
      <c r="A33" s="291">
        <v>17</v>
      </c>
      <c r="B33" s="282" t="s">
        <v>710</v>
      </c>
      <c r="C33" s="290">
        <v>27680000</v>
      </c>
      <c r="D33" s="281">
        <v>5</v>
      </c>
      <c r="E33" s="281"/>
      <c r="F33" s="513" t="s">
        <v>653</v>
      </c>
      <c r="G33" s="293">
        <f>I33+K33</f>
        <v>27680000</v>
      </c>
      <c r="H33" s="293"/>
      <c r="I33" s="906">
        <v>17327680</v>
      </c>
      <c r="J33" s="907">
        <f>I33/C33*100</f>
        <v>62.6</v>
      </c>
      <c r="K33" s="908">
        <f>C33-I33</f>
        <v>10352320</v>
      </c>
      <c r="L33" s="281">
        <f>K33/C33*100</f>
        <v>37.4</v>
      </c>
      <c r="M33" s="786">
        <v>0</v>
      </c>
      <c r="N33" s="281">
        <f>M33/C33*100</f>
        <v>0</v>
      </c>
      <c r="O33" s="787">
        <f>J33+L33</f>
        <v>100</v>
      </c>
      <c r="P33" s="281" t="s">
        <v>757</v>
      </c>
      <c r="Q33" s="263">
        <v>190000</v>
      </c>
      <c r="R33" s="788" t="s">
        <v>654</v>
      </c>
    </row>
    <row r="34" spans="1:18" s="255" customFormat="1" ht="132" customHeight="1" outlineLevel="1" x14ac:dyDescent="0.2">
      <c r="A34" s="291">
        <v>18</v>
      </c>
      <c r="B34" s="530" t="s">
        <v>655</v>
      </c>
      <c r="C34" s="290">
        <v>25390000</v>
      </c>
      <c r="D34" s="281">
        <v>5</v>
      </c>
      <c r="E34" s="281"/>
      <c r="F34" s="513" t="s">
        <v>653</v>
      </c>
      <c r="G34" s="293">
        <v>25390000</v>
      </c>
      <c r="H34" s="293"/>
      <c r="I34" s="906">
        <f>3808500+9749760</f>
        <v>13558260</v>
      </c>
      <c r="J34" s="907">
        <v>0</v>
      </c>
      <c r="K34" s="908">
        <f>G34-I34</f>
        <v>11831740</v>
      </c>
      <c r="L34" s="281">
        <f>K34/C34*100</f>
        <v>46.6</v>
      </c>
      <c r="M34" s="789">
        <f>C34-G34</f>
        <v>0</v>
      </c>
      <c r="N34" s="281">
        <f>M34/C34*100</f>
        <v>0</v>
      </c>
      <c r="O34" s="787">
        <f>J34+L34+N34</f>
        <v>46.6</v>
      </c>
      <c r="P34" s="281" t="s">
        <v>756</v>
      </c>
      <c r="Q34" s="790"/>
    </row>
    <row r="35" spans="1:18" s="255" customFormat="1" ht="172.15" customHeight="1" outlineLevel="1" x14ac:dyDescent="0.2">
      <c r="A35" s="291">
        <v>19</v>
      </c>
      <c r="B35" s="282" t="s">
        <v>667</v>
      </c>
      <c r="C35" s="290">
        <v>17588000</v>
      </c>
      <c r="D35" s="281">
        <v>5</v>
      </c>
      <c r="E35" s="281"/>
      <c r="F35" s="513" t="s">
        <v>653</v>
      </c>
      <c r="G35" s="293">
        <f>I35+K35</f>
        <v>17588000</v>
      </c>
      <c r="H35" s="293"/>
      <c r="I35" s="906">
        <f>6331680+5188460</f>
        <v>11520140</v>
      </c>
      <c r="J35" s="907">
        <v>0</v>
      </c>
      <c r="K35" s="908">
        <f>C35-I35</f>
        <v>6067860</v>
      </c>
      <c r="L35" s="281">
        <f>K35/C35*100</f>
        <v>34.5</v>
      </c>
      <c r="M35" s="789">
        <v>0</v>
      </c>
      <c r="N35" s="281">
        <f>M35/C35*100</f>
        <v>0</v>
      </c>
      <c r="O35" s="787">
        <f>J35+L35+N35</f>
        <v>34.5</v>
      </c>
      <c r="P35" s="281" t="s">
        <v>754</v>
      </c>
      <c r="Q35" s="263">
        <v>22000</v>
      </c>
      <c r="R35" s="788" t="s">
        <v>656</v>
      </c>
    </row>
    <row r="36" spans="1:18" s="255" customFormat="1" ht="145.5" customHeight="1" outlineLevel="1" x14ac:dyDescent="0.2">
      <c r="A36" s="291">
        <v>20</v>
      </c>
      <c r="B36" s="282" t="s">
        <v>657</v>
      </c>
      <c r="C36" s="290">
        <v>25890000</v>
      </c>
      <c r="D36" s="281">
        <v>5</v>
      </c>
      <c r="E36" s="281"/>
      <c r="F36" s="513" t="s">
        <v>653</v>
      </c>
      <c r="G36" s="293">
        <f>I36+K36</f>
        <v>25890000</v>
      </c>
      <c r="H36" s="293"/>
      <c r="I36" s="906">
        <v>17337600</v>
      </c>
      <c r="J36" s="907">
        <f>I36/C36*100</f>
        <v>66.966396292004632</v>
      </c>
      <c r="K36" s="908">
        <f>C36-I36</f>
        <v>8552400</v>
      </c>
      <c r="L36" s="281">
        <f>K36/C36*100</f>
        <v>33.033603707995361</v>
      </c>
      <c r="M36" s="789">
        <v>0</v>
      </c>
      <c r="N36" s="281">
        <f>M36/C36*100</f>
        <v>0</v>
      </c>
      <c r="O36" s="787">
        <f>J36+L36+N36</f>
        <v>100</v>
      </c>
      <c r="P36" s="512" t="s">
        <v>755</v>
      </c>
      <c r="Q36" s="263">
        <v>100000</v>
      </c>
      <c r="R36" s="788" t="s">
        <v>658</v>
      </c>
    </row>
    <row r="37" spans="1:18" s="255" customFormat="1" ht="39" customHeight="1" outlineLevel="1" x14ac:dyDescent="0.2">
      <c r="A37" s="791"/>
      <c r="B37" s="792" t="s">
        <v>659</v>
      </c>
      <c r="C37" s="793"/>
      <c r="D37" s="752"/>
      <c r="E37" s="752"/>
      <c r="F37" s="752"/>
      <c r="G37" s="794"/>
      <c r="H37" s="794"/>
      <c r="I37" s="795"/>
      <c r="J37" s="796"/>
      <c r="K37" s="797"/>
      <c r="L37" s="752"/>
      <c r="M37" s="798"/>
      <c r="N37" s="752"/>
      <c r="O37" s="799"/>
      <c r="P37" s="752"/>
      <c r="Q37" s="800"/>
    </row>
    <row r="38" spans="1:18" s="802" customFormat="1" ht="150.75" customHeight="1" x14ac:dyDescent="0.2">
      <c r="A38" s="791"/>
      <c r="B38" s="801" t="s">
        <v>660</v>
      </c>
      <c r="C38" s="794">
        <v>312000</v>
      </c>
      <c r="D38" s="752"/>
      <c r="E38" s="752"/>
      <c r="F38" s="752" t="s">
        <v>661</v>
      </c>
      <c r="G38" s="794">
        <v>0</v>
      </c>
      <c r="H38" s="794">
        <v>312000</v>
      </c>
      <c r="I38" s="795">
        <v>312000</v>
      </c>
      <c r="J38" s="795"/>
      <c r="K38" s="794">
        <f>C38-I38</f>
        <v>0</v>
      </c>
      <c r="L38" s="752">
        <f>K38/C38*100</f>
        <v>0</v>
      </c>
      <c r="M38" s="752">
        <v>0</v>
      </c>
      <c r="N38" s="752"/>
      <c r="O38" s="798">
        <f>J38+L38+N38</f>
        <v>0</v>
      </c>
      <c r="P38" s="861" t="s">
        <v>715</v>
      </c>
      <c r="Q38" s="800"/>
    </row>
    <row r="39" spans="1:18" s="802" customFormat="1" ht="111.75" customHeight="1" x14ac:dyDescent="0.2">
      <c r="A39" s="791"/>
      <c r="B39" s="801" t="s">
        <v>662</v>
      </c>
      <c r="C39" s="794">
        <v>500000</v>
      </c>
      <c r="D39" s="752"/>
      <c r="E39" s="752"/>
      <c r="F39" s="861" t="s">
        <v>663</v>
      </c>
      <c r="G39" s="794">
        <v>0</v>
      </c>
      <c r="H39" s="794">
        <v>0</v>
      </c>
      <c r="I39" s="795">
        <v>0</v>
      </c>
      <c r="J39" s="795"/>
      <c r="K39" s="794">
        <v>500000</v>
      </c>
      <c r="L39" s="752"/>
      <c r="M39" s="752">
        <v>0</v>
      </c>
      <c r="N39" s="752"/>
      <c r="O39" s="798"/>
      <c r="P39" s="861" t="s">
        <v>714</v>
      </c>
      <c r="Q39" s="800"/>
    </row>
  </sheetData>
  <mergeCells count="8">
    <mergeCell ref="B1:P1"/>
    <mergeCell ref="B2:P2"/>
    <mergeCell ref="A5:A7"/>
    <mergeCell ref="G5:H5"/>
    <mergeCell ref="I5:L5"/>
    <mergeCell ref="M5:N6"/>
    <mergeCell ref="O5:O6"/>
    <mergeCell ref="P5:P6"/>
  </mergeCells>
  <printOptions horizontalCentered="1"/>
  <pageMargins left="0" right="0" top="0" bottom="0" header="0.11811023622047245" footer="0"/>
  <pageSetup paperSize="9" scale="47" orientation="landscape" r:id="rId1"/>
  <headerFooter alignWithMargins="0">
    <oddHeader>&amp;Rหน้าที่ &amp;P</oddHeader>
  </headerFooter>
  <rowBreaks count="3" manualBreakCount="3">
    <brk id="13" max="15" man="1"/>
    <brk id="21" max="15" man="1"/>
    <brk id="30" max="1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P121"/>
  <sheetViews>
    <sheetView tabSelected="1" view="pageLayout" topLeftCell="A56" zoomScaleNormal="60" zoomScaleSheetLayoutView="70" workbookViewId="0">
      <selection activeCell="AN57" sqref="AN57"/>
    </sheetView>
  </sheetViews>
  <sheetFormatPr defaultColWidth="9" defaultRowHeight="36.75" x14ac:dyDescent="0.85"/>
  <cols>
    <col min="1" max="1" width="4.125" style="183" customWidth="1"/>
    <col min="2" max="2" width="4.125" style="183" hidden="1" customWidth="1"/>
    <col min="3" max="3" width="60" style="183" customWidth="1"/>
    <col min="4" max="4" width="24.125" style="197" customWidth="1"/>
    <col min="5" max="5" width="24" style="834" hidden="1" customWidth="1"/>
    <col min="6" max="6" width="26" style="834" hidden="1" customWidth="1"/>
    <col min="7" max="7" width="24" style="834" hidden="1" customWidth="1"/>
    <col min="8" max="8" width="27.25" style="832" customWidth="1"/>
    <col min="9" max="9" width="26" style="832" customWidth="1"/>
    <col min="10" max="10" width="24" style="832" customWidth="1"/>
    <col min="11" max="11" width="8.375" style="183" hidden="1" customWidth="1"/>
    <col min="12" max="12" width="9.25" style="228" hidden="1" customWidth="1"/>
    <col min="13" max="13" width="8.375" style="228" hidden="1" customWidth="1"/>
    <col min="14" max="14" width="10" style="228" hidden="1" customWidth="1"/>
    <col min="15" max="15" width="10.25" style="183" hidden="1" customWidth="1"/>
    <col min="16" max="16" width="9.375" style="183" hidden="1" customWidth="1"/>
    <col min="17" max="17" width="14.25" style="183" hidden="1" customWidth="1"/>
    <col min="18" max="18" width="21.75" style="183" hidden="1" customWidth="1"/>
    <col min="19" max="19" width="24" style="571" hidden="1" customWidth="1"/>
    <col min="20" max="20" width="24.625" style="571" hidden="1" customWidth="1"/>
    <col min="21" max="21" width="26.25" style="571" hidden="1" customWidth="1"/>
    <col min="22" max="22" width="23.875" style="572" hidden="1" customWidth="1"/>
    <col min="23" max="23" width="23.125" style="183" hidden="1" customWidth="1"/>
    <col min="24" max="24" width="9.125" style="183" hidden="1" customWidth="1"/>
    <col min="25" max="25" width="24.25" style="572" customWidth="1"/>
    <col min="26" max="26" width="3.625" style="183" hidden="1" customWidth="1"/>
    <col min="27" max="27" width="20.375" style="573" hidden="1" customWidth="1"/>
    <col min="28" max="28" width="24.625" style="573" customWidth="1"/>
    <col min="29" max="29" width="24.25" style="573" customWidth="1"/>
    <col min="30" max="30" width="23.25" style="183" customWidth="1"/>
    <col min="31" max="31" width="10.875" style="183" customWidth="1"/>
    <col min="32" max="32" width="27.125" style="183" customWidth="1"/>
    <col min="33" max="33" width="20.25" style="183" customWidth="1"/>
    <col min="34" max="34" width="24.125" style="183" hidden="1" customWidth="1"/>
    <col min="35" max="35" width="21.875" style="183" hidden="1" customWidth="1"/>
    <col min="36" max="36" width="10.25" style="183" hidden="1" customWidth="1"/>
    <col min="37" max="37" width="22.875" style="596" hidden="1" customWidth="1"/>
    <col min="38" max="38" width="28.25" style="596" hidden="1" customWidth="1"/>
    <col min="39" max="39" width="3.375" style="596" hidden="1" customWidth="1"/>
    <col min="40" max="40" width="99.875" style="183" customWidth="1"/>
    <col min="41" max="41" width="15" style="183" hidden="1" customWidth="1"/>
    <col min="42" max="42" width="19.25" style="183" hidden="1" customWidth="1"/>
    <col min="43" max="43" width="20.25" style="183" hidden="1" customWidth="1"/>
    <col min="44" max="44" width="22.125" style="183" hidden="1" customWidth="1"/>
    <col min="45" max="48" width="31.375" style="183" hidden="1" customWidth="1"/>
    <col min="49" max="49" width="19.75" style="183" hidden="1" customWidth="1"/>
    <col min="50" max="51" width="22.625" style="183" hidden="1" customWidth="1"/>
    <col min="52" max="53" width="19" style="183" hidden="1" customWidth="1"/>
    <col min="54" max="55" width="22.625" style="183" hidden="1" customWidth="1"/>
    <col min="56" max="56" width="25.125" style="183" hidden="1" customWidth="1"/>
    <col min="57" max="58" width="22.625" style="183" hidden="1" customWidth="1"/>
    <col min="59" max="59" width="24.125" style="183" hidden="1" customWidth="1"/>
    <col min="60" max="60" width="32.75" style="183" hidden="1" customWidth="1"/>
    <col min="61" max="61" width="26.25" style="183" hidden="1" customWidth="1"/>
    <col min="62" max="62" width="27.375" style="183" hidden="1" customWidth="1"/>
    <col min="63" max="63" width="33.125" style="243" hidden="1" customWidth="1"/>
    <col min="64" max="64" width="29.25" style="183" hidden="1" customWidth="1"/>
    <col min="65" max="66" width="28.75" style="183" hidden="1" customWidth="1"/>
    <col min="67" max="67" width="18.375" style="183" hidden="1" customWidth="1"/>
    <col min="68" max="68" width="32.75" style="183" hidden="1" customWidth="1"/>
    <col min="69" max="69" width="37.25" style="183" hidden="1" customWidth="1"/>
    <col min="70" max="70" width="29.875" style="183" hidden="1" customWidth="1"/>
    <col min="71" max="71" width="34.125" style="183" hidden="1" customWidth="1"/>
    <col min="72" max="72" width="31.625" style="183" hidden="1" customWidth="1"/>
    <col min="73" max="73" width="29.25" style="183" hidden="1" customWidth="1"/>
    <col min="74" max="74" width="31" style="183" hidden="1" customWidth="1"/>
    <col min="75" max="75" width="34.375" style="183" hidden="1" customWidth="1"/>
    <col min="76" max="76" width="31.25" style="531" hidden="1" customWidth="1"/>
    <col min="77" max="77" width="20.75" style="183" hidden="1" customWidth="1"/>
    <col min="78" max="78" width="29.25" style="533" hidden="1" customWidth="1"/>
    <col min="79" max="79" width="42.375" style="595" customWidth="1"/>
    <col min="80" max="16384" width="9" style="183"/>
  </cols>
  <sheetData>
    <row r="1" spans="1:94" ht="32.25" x14ac:dyDescent="0.55000000000000004">
      <c r="A1" s="1393" t="s">
        <v>781</v>
      </c>
      <c r="B1" s="1393"/>
      <c r="C1" s="1393"/>
      <c r="D1" s="1393"/>
      <c r="E1" s="1393"/>
      <c r="F1" s="1393"/>
      <c r="G1" s="1393"/>
      <c r="H1" s="1393"/>
      <c r="I1" s="1393"/>
      <c r="J1" s="1393"/>
      <c r="K1" s="1393"/>
      <c r="L1" s="1393"/>
      <c r="M1" s="1393"/>
      <c r="N1" s="1393"/>
      <c r="O1" s="1393"/>
      <c r="P1" s="1393"/>
      <c r="Q1" s="1393"/>
      <c r="R1" s="1393"/>
      <c r="S1" s="1393"/>
      <c r="T1" s="1393"/>
      <c r="U1" s="1393"/>
      <c r="V1" s="1393"/>
      <c r="W1" s="1393"/>
      <c r="X1" s="1393"/>
      <c r="Y1" s="1393"/>
      <c r="Z1" s="1393"/>
      <c r="AA1" s="1393"/>
      <c r="AB1" s="1393"/>
      <c r="AC1" s="1393"/>
      <c r="AD1" s="1393"/>
      <c r="AE1" s="1393"/>
      <c r="AF1" s="1393"/>
      <c r="AG1" s="1393"/>
      <c r="AH1" s="1393"/>
      <c r="AI1" s="1393"/>
      <c r="AJ1" s="1393"/>
      <c r="AK1" s="1393"/>
      <c r="AL1" s="1393"/>
      <c r="AM1" s="1393"/>
      <c r="AN1" s="1393"/>
      <c r="AO1" s="1006"/>
      <c r="AP1" s="1006"/>
      <c r="AQ1" s="1006"/>
      <c r="AR1" s="1007"/>
      <c r="AS1" s="1008">
        <f>AN6-J6</f>
        <v>0</v>
      </c>
      <c r="AT1" s="1008"/>
      <c r="AU1" s="1008"/>
      <c r="AV1" s="1008"/>
      <c r="AW1" s="1007"/>
      <c r="AX1" s="1007"/>
      <c r="AY1" s="1007"/>
      <c r="AZ1" s="1007"/>
      <c r="BA1" s="1007"/>
      <c r="BB1" s="1007"/>
      <c r="BC1" s="1007"/>
      <c r="BD1" s="1007"/>
      <c r="BE1" s="1007"/>
      <c r="BF1" s="1007"/>
      <c r="BG1" s="1007"/>
      <c r="BH1" s="1007"/>
      <c r="BI1" s="1007"/>
      <c r="BJ1" s="1007"/>
      <c r="BK1" s="1009"/>
      <c r="BL1" s="1007"/>
      <c r="BM1" s="1007"/>
      <c r="BN1" s="1007"/>
      <c r="BO1" s="1007"/>
      <c r="BP1" s="1007"/>
      <c r="BQ1" s="1007"/>
      <c r="BR1" s="1007"/>
      <c r="BS1" s="1007"/>
      <c r="BT1" s="1007"/>
      <c r="BU1" s="1007"/>
      <c r="BV1" s="1007"/>
      <c r="BW1" s="1007"/>
      <c r="BX1" s="1010"/>
      <c r="BY1" s="1007"/>
      <c r="BZ1" s="1011"/>
      <c r="CA1" s="1012"/>
      <c r="CB1" s="1007"/>
      <c r="CC1" s="1007"/>
      <c r="CD1" s="1007"/>
      <c r="CE1" s="1007"/>
      <c r="CF1" s="1007"/>
      <c r="CG1" s="1007"/>
      <c r="CH1" s="1007"/>
      <c r="CI1" s="1007"/>
      <c r="CJ1" s="1007"/>
      <c r="CK1" s="1007"/>
      <c r="CL1" s="1007"/>
      <c r="CM1" s="1007"/>
      <c r="CN1" s="1007"/>
      <c r="CO1" s="1007"/>
      <c r="CP1" s="1007"/>
    </row>
    <row r="2" spans="1:94" ht="43.5" customHeight="1" x14ac:dyDescent="0.55000000000000004">
      <c r="A2" s="1013"/>
      <c r="B2" s="1013"/>
      <c r="C2" s="1014"/>
      <c r="D2" s="1015"/>
      <c r="E2" s="1016"/>
      <c r="F2" s="1016"/>
      <c r="G2" s="1014"/>
      <c r="H2" s="1016"/>
      <c r="I2" s="1016"/>
      <c r="J2" s="1014"/>
      <c r="K2" s="1013"/>
      <c r="L2" s="1013"/>
      <c r="M2" s="1013"/>
      <c r="N2" s="1013"/>
      <c r="O2" s="1013"/>
      <c r="P2" s="1013"/>
      <c r="Q2" s="1013"/>
      <c r="R2" s="1013"/>
      <c r="S2" s="1418"/>
      <c r="T2" s="1418"/>
      <c r="U2" s="1017"/>
      <c r="V2" s="1014"/>
      <c r="W2" s="1018"/>
      <c r="X2" s="1013"/>
      <c r="Y2" s="1019"/>
      <c r="Z2" s="1020"/>
      <c r="AA2" s="1020"/>
      <c r="AB2" s="1020"/>
      <c r="AC2" s="1020"/>
      <c r="AD2" s="1020"/>
      <c r="AE2" s="1021"/>
      <c r="AF2" s="1022">
        <f>AF6/J6*100</f>
        <v>31.292307734279834</v>
      </c>
      <c r="AG2" s="1022">
        <f>AG6/J6*100</f>
        <v>4.1580653683214515E-2</v>
      </c>
      <c r="AH2" s="1013"/>
      <c r="AI2" s="1023"/>
      <c r="AJ2" s="1016"/>
      <c r="AK2" s="1018"/>
      <c r="AL2" s="1018"/>
      <c r="AM2" s="1018"/>
      <c r="AN2" s="1006" t="s">
        <v>236</v>
      </c>
      <c r="AO2" s="1006"/>
      <c r="AP2" s="1006"/>
      <c r="AQ2" s="1006"/>
      <c r="AR2" s="1007"/>
      <c r="AS2" s="1007"/>
      <c r="AT2" s="1007"/>
      <c r="AU2" s="1024"/>
      <c r="AV2" s="1024"/>
      <c r="AW2" s="1007"/>
      <c r="AX2" s="1007"/>
      <c r="AY2" s="1007"/>
      <c r="AZ2" s="1007"/>
      <c r="BA2" s="1007"/>
      <c r="BB2" s="1007"/>
      <c r="BC2" s="1007"/>
      <c r="BD2" s="1007"/>
      <c r="BE2" s="1007"/>
      <c r="BF2" s="1007"/>
      <c r="BG2" s="1007"/>
      <c r="BH2" s="1007"/>
      <c r="BI2" s="1007"/>
      <c r="BJ2" s="1007"/>
      <c r="BK2" s="1009"/>
      <c r="BL2" s="1007"/>
      <c r="BM2" s="1007"/>
      <c r="BN2" s="1007"/>
      <c r="BO2" s="1007"/>
      <c r="BP2" s="1007"/>
      <c r="BQ2" s="1007"/>
      <c r="BR2" s="1007"/>
      <c r="BS2" s="1007"/>
      <c r="BT2" s="1007"/>
      <c r="BU2" s="1007"/>
      <c r="BV2" s="1007"/>
      <c r="BW2" s="1007"/>
      <c r="BX2" s="1010"/>
      <c r="BY2" s="1007"/>
      <c r="BZ2" s="1011"/>
      <c r="CA2" s="1012"/>
      <c r="CB2" s="1007"/>
      <c r="CC2" s="1007"/>
      <c r="CD2" s="1007"/>
      <c r="CE2" s="1007"/>
      <c r="CF2" s="1007"/>
      <c r="CG2" s="1007"/>
      <c r="CH2" s="1007"/>
      <c r="CI2" s="1007"/>
      <c r="CJ2" s="1007"/>
      <c r="CK2" s="1007"/>
      <c r="CL2" s="1007"/>
      <c r="CM2" s="1007"/>
      <c r="CN2" s="1007"/>
      <c r="CO2" s="1007"/>
      <c r="CP2" s="1007"/>
    </row>
    <row r="3" spans="1:94" s="1225" customFormat="1" ht="42" x14ac:dyDescent="0.2">
      <c r="A3" s="1394" t="s">
        <v>0</v>
      </c>
      <c r="B3" s="1025"/>
      <c r="C3" s="1402" t="s">
        <v>810</v>
      </c>
      <c r="D3" s="1402" t="s">
        <v>192</v>
      </c>
      <c r="E3" s="1406" t="s">
        <v>177</v>
      </c>
      <c r="F3" s="1407"/>
      <c r="G3" s="1408"/>
      <c r="H3" s="1412" t="s">
        <v>782</v>
      </c>
      <c r="I3" s="1407"/>
      <c r="J3" s="1408"/>
      <c r="K3" s="1395" t="s">
        <v>182</v>
      </c>
      <c r="L3" s="1395"/>
      <c r="M3" s="1395"/>
      <c r="N3" s="1395"/>
      <c r="O3" s="1396" t="s">
        <v>225</v>
      </c>
      <c r="P3" s="1396"/>
      <c r="Q3" s="1396"/>
      <c r="R3" s="1207"/>
      <c r="S3" s="1397" t="s">
        <v>564</v>
      </c>
      <c r="T3" s="1398"/>
      <c r="U3" s="1219" t="s">
        <v>576</v>
      </c>
      <c r="V3" s="1396" t="s">
        <v>786</v>
      </c>
      <c r="W3" s="1396"/>
      <c r="X3" s="1396"/>
      <c r="Y3" s="1396"/>
      <c r="Z3" s="1396"/>
      <c r="AA3" s="1396"/>
      <c r="AB3" s="1396"/>
      <c r="AC3" s="1396"/>
      <c r="AD3" s="1396"/>
      <c r="AE3" s="1396"/>
      <c r="AF3" s="1396"/>
      <c r="AG3" s="1208"/>
      <c r="AH3" s="1209"/>
      <c r="AI3" s="1209"/>
      <c r="AJ3" s="1209"/>
      <c r="AK3" s="1209"/>
      <c r="AL3" s="1209"/>
      <c r="AM3" s="1209"/>
      <c r="AN3" s="1399" t="s">
        <v>240</v>
      </c>
      <c r="AO3" s="1220"/>
      <c r="AP3" s="1221"/>
      <c r="AQ3" s="1220"/>
      <c r="AR3" s="1415" t="s">
        <v>422</v>
      </c>
      <c r="AS3" s="1210"/>
      <c r="AT3" s="1210"/>
      <c r="AU3" s="1210"/>
      <c r="AV3" s="1210"/>
      <c r="AW3" s="1416" t="s">
        <v>458</v>
      </c>
      <c r="AX3" s="1417">
        <v>244050</v>
      </c>
      <c r="AY3" s="1211"/>
      <c r="AZ3" s="1211"/>
      <c r="BA3" s="1211"/>
      <c r="BB3" s="1211"/>
      <c r="BC3" s="1211"/>
      <c r="BD3" s="1211"/>
      <c r="BE3" s="1211"/>
      <c r="BF3" s="1211"/>
      <c r="BG3" s="1222"/>
      <c r="BH3" s="1222"/>
      <c r="BI3" s="1222"/>
      <c r="BJ3" s="1222"/>
      <c r="BK3" s="1223"/>
      <c r="BL3" s="1222"/>
      <c r="BM3" s="1222"/>
      <c r="BN3" s="1222"/>
      <c r="BO3" s="1222"/>
      <c r="BP3" s="1224" t="s">
        <v>513</v>
      </c>
      <c r="BQ3" s="1222"/>
      <c r="BR3" s="1222"/>
      <c r="BS3" s="1222"/>
      <c r="BT3" s="1222"/>
      <c r="BU3" s="1222"/>
      <c r="BV3" s="1222"/>
      <c r="BW3" s="1222"/>
      <c r="BX3" s="1410">
        <v>244196</v>
      </c>
      <c r="BY3" s="1222"/>
      <c r="BZ3" s="1223"/>
      <c r="CA3" s="1223"/>
      <c r="CB3" s="1222"/>
      <c r="CC3" s="1222"/>
      <c r="CD3" s="1222"/>
      <c r="CE3" s="1222"/>
      <c r="CF3" s="1222"/>
      <c r="CG3" s="1222"/>
      <c r="CH3" s="1222"/>
      <c r="CI3" s="1222"/>
      <c r="CJ3" s="1222"/>
      <c r="CK3" s="1222"/>
      <c r="CL3" s="1222"/>
      <c r="CM3" s="1222"/>
      <c r="CN3" s="1222"/>
      <c r="CO3" s="1222"/>
      <c r="CP3" s="1222"/>
    </row>
    <row r="4" spans="1:94" s="1225" customFormat="1" ht="75" customHeight="1" x14ac:dyDescent="0.2">
      <c r="A4" s="1394"/>
      <c r="B4" s="1025"/>
      <c r="C4" s="1403"/>
      <c r="D4" s="1403"/>
      <c r="E4" s="1405" t="s">
        <v>672</v>
      </c>
      <c r="F4" s="1405" t="s">
        <v>180</v>
      </c>
      <c r="G4" s="1405" t="s">
        <v>181</v>
      </c>
      <c r="H4" s="1405" t="s">
        <v>783</v>
      </c>
      <c r="I4" s="1405" t="s">
        <v>784</v>
      </c>
      <c r="J4" s="1405" t="s">
        <v>785</v>
      </c>
      <c r="K4" s="1409" t="s">
        <v>220</v>
      </c>
      <c r="L4" s="1409"/>
      <c r="M4" s="1409" t="s">
        <v>221</v>
      </c>
      <c r="N4" s="1409"/>
      <c r="O4" s="1409" t="s">
        <v>183</v>
      </c>
      <c r="P4" s="1409" t="s">
        <v>222</v>
      </c>
      <c r="Q4" s="1409" t="s">
        <v>219</v>
      </c>
      <c r="R4" s="1226" t="s">
        <v>503</v>
      </c>
      <c r="S4" s="1227" t="s">
        <v>474</v>
      </c>
      <c r="T4" s="1227" t="s">
        <v>204</v>
      </c>
      <c r="U4" s="1228">
        <f>S6+T6</f>
        <v>219834653.29000002</v>
      </c>
      <c r="V4" s="1409" t="s">
        <v>228</v>
      </c>
      <c r="W4" s="1399" t="s">
        <v>241</v>
      </c>
      <c r="X4" s="1220" t="s">
        <v>328</v>
      </c>
      <c r="Y4" s="1409" t="s">
        <v>577</v>
      </c>
      <c r="Z4" s="1399"/>
      <c r="AA4" s="1220" t="s">
        <v>596</v>
      </c>
      <c r="AB4" s="1419" t="s">
        <v>578</v>
      </c>
      <c r="AC4" s="1420"/>
      <c r="AD4" s="1409" t="s">
        <v>243</v>
      </c>
      <c r="AE4" s="1399"/>
      <c r="AF4" s="1409" t="s">
        <v>244</v>
      </c>
      <c r="AG4" s="1229" t="s">
        <v>604</v>
      </c>
      <c r="AH4" s="1229" t="s">
        <v>605</v>
      </c>
      <c r="AI4" s="1400" t="s">
        <v>606</v>
      </c>
      <c r="AJ4" s="1229"/>
      <c r="AK4" s="1229" t="s">
        <v>581</v>
      </c>
      <c r="AL4" s="1229"/>
      <c r="AM4" s="1229"/>
      <c r="AN4" s="1400"/>
      <c r="AO4" s="1229" t="s">
        <v>392</v>
      </c>
      <c r="AP4" s="1230" t="s">
        <v>396</v>
      </c>
      <c r="AQ4" s="1229" t="s">
        <v>401</v>
      </c>
      <c r="AR4" s="1415"/>
      <c r="AS4" s="1210" t="s">
        <v>429</v>
      </c>
      <c r="AT4" s="1210" t="s">
        <v>449</v>
      </c>
      <c r="AU4" s="1210" t="s">
        <v>451</v>
      </c>
      <c r="AV4" s="1212" t="s">
        <v>455</v>
      </c>
      <c r="AW4" s="1416"/>
      <c r="AX4" s="1416"/>
      <c r="AY4" s="1210" t="s">
        <v>464</v>
      </c>
      <c r="AZ4" s="1213" t="s">
        <v>475</v>
      </c>
      <c r="BA4" s="1214" t="s">
        <v>482</v>
      </c>
      <c r="BB4" s="1210" t="s">
        <v>472</v>
      </c>
      <c r="BC4" s="1210" t="s">
        <v>473</v>
      </c>
      <c r="BD4" s="1210" t="s">
        <v>477</v>
      </c>
      <c r="BE4" s="1210" t="s">
        <v>478</v>
      </c>
      <c r="BF4" s="1210" t="s">
        <v>483</v>
      </c>
      <c r="BG4" s="1215" t="s">
        <v>484</v>
      </c>
      <c r="BH4" s="1231"/>
      <c r="BI4" s="1028" t="s">
        <v>489</v>
      </c>
      <c r="BJ4" s="1232">
        <f>BJ7-9988000</f>
        <v>-21775580.210000001</v>
      </c>
      <c r="BK4" s="1223">
        <f>34192574.89-95732-2055964.48-209610</f>
        <v>31831268.41</v>
      </c>
      <c r="BL4" s="1210" t="s">
        <v>504</v>
      </c>
      <c r="BM4" s="1210" t="s">
        <v>505</v>
      </c>
      <c r="BN4" s="1212" t="s">
        <v>517</v>
      </c>
      <c r="BO4" s="1216" t="s">
        <v>518</v>
      </c>
      <c r="BP4" s="1222" t="s">
        <v>514</v>
      </c>
      <c r="BQ4" s="1222" t="s">
        <v>505</v>
      </c>
      <c r="BR4" s="1222">
        <f>20400+294222</f>
        <v>314622</v>
      </c>
      <c r="BS4" s="1217">
        <v>24985</v>
      </c>
      <c r="BT4" s="1212" t="s">
        <v>505</v>
      </c>
      <c r="BU4" s="1222"/>
      <c r="BV4" s="1222"/>
      <c r="BW4" s="1233" t="s">
        <v>535</v>
      </c>
      <c r="BX4" s="1411"/>
      <c r="BY4" s="1215" t="s">
        <v>542</v>
      </c>
      <c r="BZ4" s="1234" t="s">
        <v>544</v>
      </c>
      <c r="CA4" s="1234"/>
      <c r="CB4" s="1222"/>
      <c r="CC4" s="1222"/>
      <c r="CD4" s="1222"/>
      <c r="CE4" s="1222"/>
      <c r="CF4" s="1222"/>
      <c r="CG4" s="1222"/>
      <c r="CH4" s="1222"/>
      <c r="CI4" s="1222"/>
      <c r="CJ4" s="1222"/>
      <c r="CK4" s="1222"/>
      <c r="CL4" s="1222"/>
      <c r="CM4" s="1222"/>
      <c r="CN4" s="1222"/>
      <c r="CO4" s="1222"/>
      <c r="CP4" s="1222"/>
    </row>
    <row r="5" spans="1:94" s="1225" customFormat="1" ht="38.25" customHeight="1" x14ac:dyDescent="0.2">
      <c r="A5" s="1394"/>
      <c r="B5" s="1025"/>
      <c r="C5" s="1404"/>
      <c r="D5" s="1404"/>
      <c r="E5" s="1405"/>
      <c r="F5" s="1405"/>
      <c r="G5" s="1405"/>
      <c r="H5" s="1405"/>
      <c r="I5" s="1405"/>
      <c r="J5" s="1405"/>
      <c r="K5" s="1226" t="s">
        <v>215</v>
      </c>
      <c r="L5" s="1226" t="s">
        <v>216</v>
      </c>
      <c r="M5" s="1226" t="s">
        <v>217</v>
      </c>
      <c r="N5" s="1226" t="s">
        <v>216</v>
      </c>
      <c r="O5" s="1409"/>
      <c r="P5" s="1409"/>
      <c r="Q5" s="1409"/>
      <c r="R5" s="1226"/>
      <c r="S5" s="1413">
        <f>S6+T6</f>
        <v>219834653.29000002</v>
      </c>
      <c r="T5" s="1414"/>
      <c r="U5" s="1218">
        <f>U4/J6*100</f>
        <v>99.958419346316802</v>
      </c>
      <c r="V5" s="1409"/>
      <c r="W5" s="1401"/>
      <c r="X5" s="1235"/>
      <c r="Y5" s="1409"/>
      <c r="Z5" s="1401"/>
      <c r="AA5" s="1235"/>
      <c r="AB5" s="1226" t="s">
        <v>474</v>
      </c>
      <c r="AC5" s="1226" t="s">
        <v>204</v>
      </c>
      <c r="AD5" s="1409"/>
      <c r="AE5" s="1401"/>
      <c r="AF5" s="1409"/>
      <c r="AG5" s="1235"/>
      <c r="AH5" s="1235"/>
      <c r="AI5" s="1401"/>
      <c r="AJ5" s="1235"/>
      <c r="AK5" s="1235"/>
      <c r="AL5" s="1235"/>
      <c r="AM5" s="1235"/>
      <c r="AN5" s="1401"/>
      <c r="AO5" s="1235"/>
      <c r="AP5" s="1236"/>
      <c r="AQ5" s="1235"/>
      <c r="AR5" s="1415"/>
      <c r="AS5" s="1210"/>
      <c r="AT5" s="1210"/>
      <c r="AU5" s="1210"/>
      <c r="AV5" s="1210"/>
      <c r="AW5" s="1416"/>
      <c r="AX5" s="1416"/>
      <c r="AY5" s="1210"/>
      <c r="AZ5" s="1210"/>
      <c r="BA5" s="1210"/>
      <c r="BB5" s="1210"/>
      <c r="BC5" s="1210"/>
      <c r="BD5" s="1212"/>
      <c r="BE5" s="1210"/>
      <c r="BF5" s="1210"/>
      <c r="BG5" s="1222"/>
      <c r="BH5" s="1222"/>
      <c r="BI5" s="1222"/>
      <c r="BJ5" s="1222"/>
      <c r="BK5" s="1223"/>
      <c r="BL5" s="1222"/>
      <c r="BM5" s="1222"/>
      <c r="BN5" s="1222"/>
      <c r="BO5" s="1222"/>
      <c r="BP5" s="1222"/>
      <c r="BQ5" s="1222"/>
      <c r="BR5" s="1222"/>
      <c r="BS5" s="1222"/>
      <c r="BT5" s="1222"/>
      <c r="BU5" s="1222"/>
      <c r="BV5" s="1222"/>
      <c r="BW5" s="1222"/>
      <c r="BX5" s="1411"/>
      <c r="BY5" s="1232"/>
      <c r="BZ5" s="1223"/>
      <c r="CA5" s="1223"/>
      <c r="CB5" s="1222"/>
      <c r="CC5" s="1222"/>
      <c r="CD5" s="1222"/>
      <c r="CE5" s="1222"/>
      <c r="CF5" s="1222"/>
      <c r="CG5" s="1222"/>
      <c r="CH5" s="1222"/>
      <c r="CI5" s="1222"/>
      <c r="CJ5" s="1222"/>
      <c r="CK5" s="1222"/>
      <c r="CL5" s="1222"/>
      <c r="CM5" s="1222"/>
      <c r="CN5" s="1222"/>
      <c r="CO5" s="1222"/>
      <c r="CP5" s="1222"/>
    </row>
    <row r="6" spans="1:94" ht="65.25" customHeight="1" x14ac:dyDescent="0.65">
      <c r="A6" s="1049"/>
      <c r="B6" s="1049"/>
      <c r="C6" s="1237"/>
      <c r="D6" s="1238"/>
      <c r="E6" s="1238">
        <f t="shared" ref="E6:J6" si="0">E7+E34+E61+E82</f>
        <v>37210000</v>
      </c>
      <c r="F6" s="1238">
        <f t="shared" si="0"/>
        <v>182716100</v>
      </c>
      <c r="G6" s="1239">
        <f t="shared" si="0"/>
        <v>219926100</v>
      </c>
      <c r="H6" s="1240">
        <f t="shared" si="0"/>
        <v>38563000</v>
      </c>
      <c r="I6" s="1240">
        <f t="shared" si="0"/>
        <v>181363100</v>
      </c>
      <c r="J6" s="1240">
        <f t="shared" si="0"/>
        <v>219926100</v>
      </c>
      <c r="K6" s="1241">
        <f t="shared" ref="K6:AK6" si="1">K7+K34+K61+K82</f>
        <v>36</v>
      </c>
      <c r="L6" s="1238">
        <f t="shared" si="1"/>
        <v>18</v>
      </c>
      <c r="M6" s="1238">
        <f t="shared" si="1"/>
        <v>0</v>
      </c>
      <c r="N6" s="1238">
        <f t="shared" si="1"/>
        <v>0</v>
      </c>
      <c r="O6" s="1238">
        <f t="shared" si="1"/>
        <v>6</v>
      </c>
      <c r="P6" s="1238">
        <f t="shared" si="1"/>
        <v>0</v>
      </c>
      <c r="Q6" s="1238" t="e">
        <f t="shared" si="1"/>
        <v>#VALUE!</v>
      </c>
      <c r="R6" s="1238">
        <f t="shared" ca="1" si="1"/>
        <v>84255996.459999993</v>
      </c>
      <c r="S6" s="1238">
        <f>S7+S34+S61+S82</f>
        <v>38506023.079999998</v>
      </c>
      <c r="T6" s="1238">
        <f t="shared" si="1"/>
        <v>181328630.21000001</v>
      </c>
      <c r="U6" s="1238">
        <f>U7+U34+U61+U82</f>
        <v>219834653.29000002</v>
      </c>
      <c r="V6" s="1238">
        <f t="shared" si="1"/>
        <v>99506338</v>
      </c>
      <c r="W6" s="1238">
        <f t="shared" si="1"/>
        <v>24649940</v>
      </c>
      <c r="X6" s="1238">
        <f t="shared" si="1"/>
        <v>0</v>
      </c>
      <c r="Y6" s="1238">
        <f t="shared" si="1"/>
        <v>151014701.29000002</v>
      </c>
      <c r="Z6" s="1238">
        <f t="shared" si="1"/>
        <v>0</v>
      </c>
      <c r="AA6" s="1238"/>
      <c r="AB6" s="1238">
        <f t="shared" si="1"/>
        <v>35749023.079999998</v>
      </c>
      <c r="AC6" s="1238">
        <f t="shared" si="1"/>
        <v>115265678.21000001</v>
      </c>
      <c r="AD6" s="1238">
        <f t="shared" si="1"/>
        <v>3.637978807091713E-11</v>
      </c>
      <c r="AE6" s="1238">
        <f t="shared" si="1"/>
        <v>0</v>
      </c>
      <c r="AF6" s="1238">
        <f t="shared" si="1"/>
        <v>68819952</v>
      </c>
      <c r="AG6" s="1238">
        <f>AG7+AG34+AG61+AG82</f>
        <v>91446.710000000036</v>
      </c>
      <c r="AH6" s="1238">
        <f>AH7+AH34+AH61+AH82</f>
        <v>330200.00000000006</v>
      </c>
      <c r="AI6" s="1238">
        <f t="shared" si="1"/>
        <v>74763.75</v>
      </c>
      <c r="AJ6" s="1238">
        <f t="shared" si="1"/>
        <v>2.3510841571814579E-4</v>
      </c>
      <c r="AK6" s="1238">
        <f t="shared" si="1"/>
        <v>169000</v>
      </c>
      <c r="AL6" s="1238"/>
      <c r="AM6" s="1238">
        <f>AM7+AM34+AM61+AM82</f>
        <v>0</v>
      </c>
      <c r="AN6" s="1238">
        <f>Y6+AF6+AG6</f>
        <v>219926100.00000003</v>
      </c>
      <c r="AO6" s="1031"/>
      <c r="AP6" s="1030"/>
      <c r="AQ6" s="1031">
        <f>2200856.17-Y6-30000-61000</f>
        <v>-148904845.12000003</v>
      </c>
      <c r="AR6" s="1032"/>
      <c r="AS6" s="1033"/>
      <c r="AT6" s="1033"/>
      <c r="AU6" s="1033">
        <f>125750+88250+202421+Y6</f>
        <v>151431122.29000002</v>
      </c>
      <c r="AV6" s="1033">
        <f>9793520.74-64097.5-1692875-162060</f>
        <v>7874488.2400000002</v>
      </c>
      <c r="AW6" s="1007"/>
      <c r="AX6" s="1034">
        <f>11366993.01-79097.5-1702210-194860</f>
        <v>9390825.5099999998</v>
      </c>
      <c r="AY6" s="1029">
        <f>Y6-AX6</f>
        <v>141623875.78000003</v>
      </c>
      <c r="AZ6" s="1029"/>
      <c r="BA6" s="1029"/>
      <c r="BB6" s="1035">
        <f>11448644.01-79097.5-1702210-200660</f>
        <v>9466676.5099999998</v>
      </c>
      <c r="BC6" s="1029"/>
      <c r="BD6" s="1036">
        <f>BD7+BD34+BD61+BD82</f>
        <v>13647006.16</v>
      </c>
      <c r="BE6" s="1037">
        <f>BD6-Y6</f>
        <v>-137367695.13000003</v>
      </c>
      <c r="BF6" s="1038">
        <f>BF7+BF34+BF61+BF82</f>
        <v>13813166.16</v>
      </c>
      <c r="BG6" s="1029">
        <f>BF6+79097.5+1716364.48+204750</f>
        <v>15813378.140000001</v>
      </c>
      <c r="BH6" s="1039">
        <f>BF6-Y6</f>
        <v>-137201535.13000003</v>
      </c>
      <c r="BI6" s="1038">
        <f>BI7+BI34+BI61+BI82</f>
        <v>24635085.41</v>
      </c>
      <c r="BJ6" s="1040">
        <f>26989697.39-94797.5-2055964.48-203850</f>
        <v>24635085.41</v>
      </c>
      <c r="BK6" s="1009"/>
      <c r="BL6" s="1041">
        <f>BL7+BL34+BL61+BL82</f>
        <v>38638703.460000001</v>
      </c>
      <c r="BM6" s="1039">
        <f>BL6-Y6</f>
        <v>-112375997.83000001</v>
      </c>
      <c r="BN6" s="1042">
        <f>BN7+BN34+BN61+BN82</f>
        <v>204042221.67000002</v>
      </c>
      <c r="BO6" s="1039"/>
      <c r="BP6" s="1043">
        <f>Y7+BP34+BP61+BP82</f>
        <v>48287255.670000002</v>
      </c>
      <c r="BQ6" s="1044">
        <f>BP6-Y6</f>
        <v>-102727445.62000002</v>
      </c>
      <c r="BR6" s="1029">
        <f>BP6-Y6</f>
        <v>-102727445.62000002</v>
      </c>
      <c r="BS6" s="1045">
        <v>40860770.460000001</v>
      </c>
      <c r="BT6" s="1045">
        <f>BS6-Y6</f>
        <v>-110153930.83000001</v>
      </c>
      <c r="BU6" s="1046" t="s">
        <v>533</v>
      </c>
      <c r="BV6" s="1047" t="s">
        <v>505</v>
      </c>
      <c r="BW6" s="1007"/>
      <c r="BX6" s="1010"/>
      <c r="BY6" s="1007"/>
      <c r="BZ6" s="1011"/>
      <c r="CA6" s="1048"/>
      <c r="CB6" s="1007"/>
      <c r="CC6" s="1007"/>
      <c r="CD6" s="1007"/>
      <c r="CE6" s="1007"/>
      <c r="CF6" s="1007"/>
      <c r="CG6" s="1007"/>
      <c r="CH6" s="1007"/>
      <c r="CI6" s="1007"/>
      <c r="CJ6" s="1007"/>
      <c r="CK6" s="1007"/>
      <c r="CL6" s="1007"/>
      <c r="CM6" s="1007"/>
      <c r="CN6" s="1007"/>
      <c r="CO6" s="1007"/>
      <c r="CP6" s="1007"/>
    </row>
    <row r="7" spans="1:94" s="197" customFormat="1" ht="56.25" customHeight="1" x14ac:dyDescent="0.6">
      <c r="A7" s="1049"/>
      <c r="B7" s="1049"/>
      <c r="C7" s="1158" t="s">
        <v>677</v>
      </c>
      <c r="D7" s="1239"/>
      <c r="E7" s="1240">
        <f t="shared" ref="E7:AG7" si="2">E8+E10+E13+E16+E21+E26+E29+E31+E32+E33</f>
        <v>5603600</v>
      </c>
      <c r="F7" s="1240">
        <f t="shared" si="2"/>
        <v>17846100</v>
      </c>
      <c r="G7" s="1240">
        <f t="shared" si="2"/>
        <v>23449700</v>
      </c>
      <c r="H7" s="1240">
        <f>H8+H10+H13+H16+H21+H26+H29+H31+H32+H33</f>
        <v>6708300</v>
      </c>
      <c r="I7" s="1240">
        <f t="shared" ref="I7:R7" si="3">I8+I10+I13+I16+I21+I26+I29+I31+I32+I33</f>
        <v>17846100</v>
      </c>
      <c r="J7" s="1240">
        <f t="shared" si="3"/>
        <v>24554400</v>
      </c>
      <c r="K7" s="1240">
        <f t="shared" si="3"/>
        <v>0</v>
      </c>
      <c r="L7" s="1240">
        <f t="shared" si="3"/>
        <v>0</v>
      </c>
      <c r="M7" s="1240">
        <f t="shared" si="3"/>
        <v>0</v>
      </c>
      <c r="N7" s="1240">
        <f t="shared" si="3"/>
        <v>0</v>
      </c>
      <c r="O7" s="1240">
        <f t="shared" si="3"/>
        <v>0</v>
      </c>
      <c r="P7" s="1240">
        <f t="shared" si="3"/>
        <v>0</v>
      </c>
      <c r="Q7" s="1240">
        <f t="shared" si="3"/>
        <v>0</v>
      </c>
      <c r="R7" s="1240">
        <f t="shared" si="3"/>
        <v>0</v>
      </c>
      <c r="S7" s="1238">
        <f>S8+S10+S13+S16+S21+S26+S29+S31+S32+S33</f>
        <v>6683240</v>
      </c>
      <c r="T7" s="1238">
        <f t="shared" ref="T7:U7" si="4">T8+T10+T13+T16+T21+T26+T29+T31+T32+T33</f>
        <v>17811630.210000001</v>
      </c>
      <c r="U7" s="1238">
        <f t="shared" si="4"/>
        <v>24494870.210000001</v>
      </c>
      <c r="V7" s="1238">
        <f t="shared" si="2"/>
        <v>0</v>
      </c>
      <c r="W7" s="1238">
        <f t="shared" si="2"/>
        <v>16660</v>
      </c>
      <c r="X7" s="1238">
        <f t="shared" si="2"/>
        <v>0</v>
      </c>
      <c r="Y7" s="1238">
        <f t="shared" si="2"/>
        <v>23994870.210000001</v>
      </c>
      <c r="Z7" s="1238">
        <f t="shared" si="2"/>
        <v>0</v>
      </c>
      <c r="AA7" s="1238">
        <f t="shared" si="2"/>
        <v>0</v>
      </c>
      <c r="AB7" s="1238">
        <f t="shared" si="2"/>
        <v>6183240</v>
      </c>
      <c r="AC7" s="1238">
        <f t="shared" si="2"/>
        <v>17811630.210000001</v>
      </c>
      <c r="AD7" s="1238">
        <f t="shared" si="2"/>
        <v>3.637978807091713E-11</v>
      </c>
      <c r="AE7" s="1238">
        <f t="shared" si="2"/>
        <v>0</v>
      </c>
      <c r="AF7" s="1238">
        <f t="shared" si="2"/>
        <v>500000</v>
      </c>
      <c r="AG7" s="1238">
        <f t="shared" si="2"/>
        <v>59529.790000000037</v>
      </c>
      <c r="AH7" s="1242">
        <f>AG7-AI7</f>
        <v>-4999.9999999999636</v>
      </c>
      <c r="AI7" s="1242">
        <f>AI8+AI10+AI13+AI16+AI21+AI26+AI29+AI31</f>
        <v>64529.79</v>
      </c>
      <c r="AJ7" s="1242">
        <f>AJ8+AJ10+AJ13+AJ16+AJ21+AJ26+AJ29+AJ31</f>
        <v>0</v>
      </c>
      <c r="AK7" s="1242">
        <f>AK8+AK10+AK13+AK16+AK21+AK26+AK29+AK31</f>
        <v>134000</v>
      </c>
      <c r="AL7" s="1242">
        <f>AL8+AL10+AL13+AL16+AL21+AL26+AL29+AL31</f>
        <v>0</v>
      </c>
      <c r="AM7" s="1238"/>
      <c r="AN7" s="1174">
        <f>Y7+AF7+AG7</f>
        <v>24554400</v>
      </c>
      <c r="AO7" s="1050"/>
      <c r="AP7" s="1051"/>
      <c r="AQ7" s="1050">
        <f>438400-Y7</f>
        <v>-23556470.210000001</v>
      </c>
      <c r="AR7" s="1052">
        <f>Y7-592910</f>
        <v>23401960.210000001</v>
      </c>
      <c r="AS7" s="1052"/>
      <c r="AT7" s="1052"/>
      <c r="AU7" s="1052"/>
      <c r="AV7" s="1053">
        <f>9989438.74-64097.5-1692875-162060</f>
        <v>8070406.2400000002</v>
      </c>
      <c r="AW7" s="1054">
        <v>0</v>
      </c>
      <c r="AX7" s="1055">
        <f>495000+1702290</f>
        <v>2197290</v>
      </c>
      <c r="AY7" s="1056">
        <f>AX7-Y7</f>
        <v>-21797580.210000001</v>
      </c>
      <c r="AZ7" s="1056"/>
      <c r="BA7" s="1056"/>
      <c r="BB7" s="1045">
        <f>495000+1702290</f>
        <v>2197290</v>
      </c>
      <c r="BC7" s="1056">
        <v>0</v>
      </c>
      <c r="BD7" s="1057">
        <f>495000+1702290</f>
        <v>2197290</v>
      </c>
      <c r="BE7" s="1056">
        <f>BD7-Y7</f>
        <v>-21797580.210000001</v>
      </c>
      <c r="BF7" s="1056">
        <f>495000+1702290</f>
        <v>2197290</v>
      </c>
      <c r="BG7" s="1058">
        <f>Y7-BF7</f>
        <v>21797580.210000001</v>
      </c>
      <c r="BH7" s="1054">
        <v>0</v>
      </c>
      <c r="BI7" s="1056">
        <f>495000+9988000+1724290</f>
        <v>12207290</v>
      </c>
      <c r="BJ7" s="1029">
        <f>BI7-Y7</f>
        <v>-11787580.210000001</v>
      </c>
      <c r="BK7" s="1009">
        <f>495000+9988000+1818940</f>
        <v>12301940</v>
      </c>
      <c r="BL7" s="1036">
        <f>495000+9988000+4177940</f>
        <v>14660940</v>
      </c>
      <c r="BM7" s="1041">
        <f>BL7-Y7</f>
        <v>-9333930.2100000009</v>
      </c>
      <c r="BN7" s="1041">
        <f>1320000+428630.21+495000+5580000+9988000+4177940</f>
        <v>21989570.210000001</v>
      </c>
      <c r="BO7" s="1041">
        <f>BN7-V7</f>
        <v>21989570.210000001</v>
      </c>
      <c r="BP7" s="1059">
        <f>495000+9988000+4177940</f>
        <v>14660940</v>
      </c>
      <c r="BQ7" s="1058">
        <f>BP7-Y7</f>
        <v>-9333930.2100000009</v>
      </c>
      <c r="BR7" s="1054">
        <v>0</v>
      </c>
      <c r="BS7" s="1009">
        <v>15980940</v>
      </c>
      <c r="BT7" s="1058">
        <f>BS7-Y7</f>
        <v>-8013930.2100000009</v>
      </c>
      <c r="BU7" s="1054">
        <v>0</v>
      </c>
      <c r="BV7" s="1054">
        <v>0</v>
      </c>
      <c r="BW7" s="1054">
        <v>0</v>
      </c>
      <c r="BX7" s="1060">
        <f>1320000+428630.21+495000+9988000+4552701.06</f>
        <v>16784331.27</v>
      </c>
      <c r="BY7" s="1058">
        <f>BX7-Y7</f>
        <v>-7210538.9400000013</v>
      </c>
      <c r="BZ7" s="1061">
        <f>AN7-J7</f>
        <v>0</v>
      </c>
      <c r="CA7" s="1062"/>
      <c r="CB7" s="1054"/>
      <c r="CC7" s="1054"/>
      <c r="CD7" s="1054"/>
      <c r="CE7" s="1054"/>
      <c r="CF7" s="1054"/>
      <c r="CG7" s="1054"/>
      <c r="CH7" s="1054"/>
      <c r="CI7" s="1054"/>
      <c r="CJ7" s="1054"/>
      <c r="CK7" s="1054"/>
      <c r="CL7" s="1054"/>
      <c r="CM7" s="1054"/>
      <c r="CN7" s="1054"/>
      <c r="CO7" s="1054"/>
      <c r="CP7" s="1054"/>
    </row>
    <row r="8" spans="1:94" s="306" customFormat="1" ht="63" customHeight="1" x14ac:dyDescent="0.65">
      <c r="A8" s="1063">
        <v>1</v>
      </c>
      <c r="B8" s="1063"/>
      <c r="C8" s="1243" t="s">
        <v>593</v>
      </c>
      <c r="D8" s="1064" t="s">
        <v>248</v>
      </c>
      <c r="E8" s="1244">
        <f>SUM(E9:E9)</f>
        <v>0</v>
      </c>
      <c r="F8" s="1244">
        <f>SUM(F9:F9)</f>
        <v>1768100</v>
      </c>
      <c r="G8" s="1244">
        <f>G9</f>
        <v>1768100</v>
      </c>
      <c r="H8" s="1244">
        <f>SUM(H9:H9)</f>
        <v>0</v>
      </c>
      <c r="I8" s="1244">
        <f>SUM(I9:I9)</f>
        <v>1768100</v>
      </c>
      <c r="J8" s="1244">
        <f>J9</f>
        <v>1768100</v>
      </c>
      <c r="K8" s="1245"/>
      <c r="L8" s="1063"/>
      <c r="M8" s="1063"/>
      <c r="N8" s="1063"/>
      <c r="O8" s="1063"/>
      <c r="P8" s="1063"/>
      <c r="Q8" s="1246"/>
      <c r="R8" s="1065"/>
      <c r="S8" s="1247">
        <v>0</v>
      </c>
      <c r="T8" s="1247">
        <v>1748630.21</v>
      </c>
      <c r="U8" s="1247">
        <v>1748630.21</v>
      </c>
      <c r="V8" s="1065">
        <f>SUM(V9:V9)</f>
        <v>0</v>
      </c>
      <c r="W8" s="1065">
        <f>SUM(W9:W9)</f>
        <v>0</v>
      </c>
      <c r="X8" s="1065"/>
      <c r="Y8" s="1065">
        <f>Y9</f>
        <v>1748630.21</v>
      </c>
      <c r="Z8" s="1065"/>
      <c r="AA8" s="1065"/>
      <c r="AB8" s="1065">
        <f>AB9</f>
        <v>0</v>
      </c>
      <c r="AC8" s="1065">
        <f>AC9</f>
        <v>1748630.21</v>
      </c>
      <c r="AD8" s="1065">
        <f>SUM(AD9:AD9)</f>
        <v>3.637978807091713E-11</v>
      </c>
      <c r="AE8" s="1065"/>
      <c r="AF8" s="1065">
        <f>SUM(AF9:AF9)</f>
        <v>0</v>
      </c>
      <c r="AG8" s="1065">
        <f>AG9</f>
        <v>19469.790000000037</v>
      </c>
      <c r="AH8" s="1065"/>
      <c r="AI8" s="1065">
        <f>AI9</f>
        <v>19469.79</v>
      </c>
      <c r="AJ8" s="1065"/>
      <c r="AK8" s="1065"/>
      <c r="AL8" s="1065"/>
      <c r="AM8" s="1065"/>
      <c r="AN8" s="1248"/>
      <c r="AO8" s="1050"/>
      <c r="AP8" s="1066"/>
      <c r="AQ8" s="1051"/>
      <c r="AR8" s="1027"/>
      <c r="AS8" s="1027"/>
      <c r="AT8" s="1027"/>
      <c r="AU8" s="1067">
        <f>495000+1407160</f>
        <v>1902160</v>
      </c>
      <c r="AV8" s="1067">
        <f>AV7-Y6</f>
        <v>-142944295.05000001</v>
      </c>
      <c r="AW8" s="1007"/>
      <c r="AX8" s="1027"/>
      <c r="AY8" s="1007"/>
      <c r="AZ8" s="1007"/>
      <c r="BA8" s="1007"/>
      <c r="BB8" s="1007"/>
      <c r="BC8" s="1007"/>
      <c r="BD8" s="1007"/>
      <c r="BE8" s="1007"/>
      <c r="BF8" s="1007"/>
      <c r="BG8" s="1007"/>
      <c r="BH8" s="1007"/>
      <c r="BI8" s="1007"/>
      <c r="BJ8" s="1007"/>
      <c r="BK8" s="1009">
        <f>Y6-BK4</f>
        <v>119183432.88000003</v>
      </c>
      <c r="BL8" s="1007"/>
      <c r="BM8" s="1007"/>
      <c r="BN8" s="1007"/>
      <c r="BO8" s="1007"/>
      <c r="BP8" s="1007"/>
      <c r="BQ8" s="1009">
        <f>15980940</f>
        <v>15980940</v>
      </c>
      <c r="BR8" s="1039">
        <f>BQ8-BP7</f>
        <v>1320000</v>
      </c>
      <c r="BS8" s="1007">
        <f>160000-147400</f>
        <v>12600</v>
      </c>
      <c r="BT8" s="1007"/>
      <c r="BU8" s="1068">
        <v>16730331.27</v>
      </c>
      <c r="BV8" s="1041">
        <f>BU8-Y7</f>
        <v>-7264538.9400000013</v>
      </c>
      <c r="BW8" s="1007"/>
      <c r="BX8" s="1010"/>
      <c r="BY8" s="1007"/>
      <c r="BZ8" s="1011"/>
      <c r="CA8" s="1012"/>
      <c r="CB8" s="1007"/>
      <c r="CC8" s="1007"/>
      <c r="CD8" s="1007"/>
      <c r="CE8" s="1007"/>
      <c r="CF8" s="1007"/>
      <c r="CG8" s="1007"/>
      <c r="CH8" s="1007"/>
      <c r="CI8" s="1007"/>
      <c r="CJ8" s="1007"/>
      <c r="CK8" s="1007"/>
      <c r="CL8" s="1007"/>
      <c r="CM8" s="1007"/>
      <c r="CN8" s="1007"/>
      <c r="CO8" s="1007"/>
      <c r="CP8" s="1007"/>
    </row>
    <row r="9" spans="1:94" s="926" customFormat="1" ht="265.14999999999998" customHeight="1" x14ac:dyDescent="0.55000000000000004">
      <c r="A9" s="1069"/>
      <c r="B9" s="1069"/>
      <c r="C9" s="1091" t="s">
        <v>543</v>
      </c>
      <c r="D9" s="1070" t="s">
        <v>248</v>
      </c>
      <c r="E9" s="1094">
        <v>0</v>
      </c>
      <c r="F9" s="1094">
        <v>1768100</v>
      </c>
      <c r="G9" s="1094">
        <v>1768100</v>
      </c>
      <c r="H9" s="1094">
        <v>0</v>
      </c>
      <c r="I9" s="1094">
        <v>1768100</v>
      </c>
      <c r="J9" s="1094">
        <f>1748630.21+AI9</f>
        <v>1768100</v>
      </c>
      <c r="K9" s="1249"/>
      <c r="L9" s="1250"/>
      <c r="M9" s="1250">
        <v>12</v>
      </c>
      <c r="N9" s="1250">
        <v>3</v>
      </c>
      <c r="O9" s="1250"/>
      <c r="P9" s="1250">
        <v>5</v>
      </c>
      <c r="Q9" s="1251" t="s">
        <v>185</v>
      </c>
      <c r="R9" s="1251"/>
      <c r="S9" s="1186">
        <v>0</v>
      </c>
      <c r="T9" s="1186">
        <v>1748630.21</v>
      </c>
      <c r="U9" s="1186">
        <f>J9-AI9</f>
        <v>1748630.21</v>
      </c>
      <c r="V9" s="1071">
        <v>0</v>
      </c>
      <c r="W9" s="1071">
        <v>0</v>
      </c>
      <c r="X9" s="1071"/>
      <c r="Y9" s="1071">
        <f>1320000+428630.21</f>
        <v>1748630.21</v>
      </c>
      <c r="Z9" s="1071"/>
      <c r="AA9" s="1071"/>
      <c r="AB9" s="1071">
        <v>0</v>
      </c>
      <c r="AC9" s="1071">
        <v>1748630.21</v>
      </c>
      <c r="AD9" s="1071">
        <f>J9-Y9-AI9</f>
        <v>3.637978807091713E-11</v>
      </c>
      <c r="AE9" s="1071"/>
      <c r="AF9" s="1071">
        <v>0</v>
      </c>
      <c r="AG9" s="1071">
        <f>J9-AC9</f>
        <v>19469.790000000037</v>
      </c>
      <c r="AH9" s="1071"/>
      <c r="AI9" s="1071">
        <v>19469.79</v>
      </c>
      <c r="AJ9" s="1071"/>
      <c r="AK9" s="1071">
        <v>0</v>
      </c>
      <c r="AL9" s="1071"/>
      <c r="AM9" s="1071"/>
      <c r="AN9" s="1149" t="s">
        <v>787</v>
      </c>
      <c r="AO9" s="1072"/>
      <c r="AP9" s="1073"/>
      <c r="AQ9" s="1074"/>
      <c r="AR9" s="1075"/>
      <c r="AS9" s="1075"/>
      <c r="AT9" s="1075"/>
      <c r="AU9" s="1076"/>
      <c r="AV9" s="1076">
        <f>1497290+495000</f>
        <v>1992290</v>
      </c>
      <c r="AW9" s="1077">
        <f>AV9/J7*100</f>
        <v>8.11378001498713</v>
      </c>
      <c r="AX9" s="1077"/>
      <c r="AY9" s="1077"/>
      <c r="AZ9" s="1077"/>
      <c r="BA9" s="1077"/>
      <c r="BB9" s="1077"/>
      <c r="BC9" s="1077"/>
      <c r="BD9" s="1077"/>
      <c r="BE9" s="1077"/>
      <c r="BF9" s="1077"/>
      <c r="BG9" s="1075"/>
      <c r="BH9" s="1075"/>
      <c r="BI9" s="1075"/>
      <c r="BJ9" s="1075"/>
      <c r="BK9" s="1078"/>
      <c r="BL9" s="1075"/>
      <c r="BM9" s="1075"/>
      <c r="BN9" s="1075"/>
      <c r="BO9" s="1075"/>
      <c r="BP9" s="1079">
        <f>J7-AN7</f>
        <v>0</v>
      </c>
      <c r="BQ9" s="1075"/>
      <c r="BR9" s="1075"/>
      <c r="BS9" s="1075"/>
      <c r="BT9" s="1075"/>
      <c r="BU9" s="1075"/>
      <c r="BV9" s="1075"/>
      <c r="BW9" s="1075"/>
      <c r="BX9" s="1080"/>
      <c r="BY9" s="1075"/>
      <c r="BZ9" s="1081"/>
      <c r="CA9" s="1082"/>
      <c r="CB9" s="1075"/>
      <c r="CC9" s="1075"/>
      <c r="CD9" s="1075"/>
      <c r="CE9" s="1075"/>
      <c r="CF9" s="1075"/>
      <c r="CG9" s="1075"/>
      <c r="CH9" s="1075"/>
      <c r="CI9" s="1075"/>
      <c r="CJ9" s="1075"/>
      <c r="CK9" s="1075"/>
      <c r="CL9" s="1075"/>
      <c r="CM9" s="1075"/>
      <c r="CN9" s="1075"/>
      <c r="CO9" s="1075"/>
      <c r="CP9" s="1075"/>
    </row>
    <row r="10" spans="1:94" s="927" customFormat="1" ht="64.5" customHeight="1" x14ac:dyDescent="0.55000000000000004">
      <c r="A10" s="1083">
        <v>2</v>
      </c>
      <c r="B10" s="1083"/>
      <c r="C10" s="1084" t="s">
        <v>249</v>
      </c>
      <c r="D10" s="1085" t="s">
        <v>250</v>
      </c>
      <c r="E10" s="1147">
        <f>SUM(E11:E12)</f>
        <v>2700000</v>
      </c>
      <c r="F10" s="1147">
        <f>SUM(F11:F12)</f>
        <v>0</v>
      </c>
      <c r="G10" s="1147">
        <f>G11+G12</f>
        <v>2700000</v>
      </c>
      <c r="H10" s="1147">
        <f>SUM(H11:H12)</f>
        <v>2561000</v>
      </c>
      <c r="I10" s="1147">
        <f>SUM(I11:I12)</f>
        <v>0</v>
      </c>
      <c r="J10" s="1147">
        <f>J11+J12</f>
        <v>2561000</v>
      </c>
      <c r="K10" s="1177"/>
      <c r="L10" s="1178"/>
      <c r="M10" s="1178"/>
      <c r="N10" s="1178"/>
      <c r="O10" s="1178"/>
      <c r="P10" s="1178"/>
      <c r="Q10" s="1179"/>
      <c r="R10" s="1179"/>
      <c r="S10" s="1180">
        <f>S11+S12</f>
        <v>2559000</v>
      </c>
      <c r="T10" s="1180">
        <v>0</v>
      </c>
      <c r="U10" s="1180">
        <f>U11+U12</f>
        <v>2559000</v>
      </c>
      <c r="V10" s="1086">
        <f>V11+V12</f>
        <v>0</v>
      </c>
      <c r="W10" s="1086">
        <f>SUM(W11:W12)</f>
        <v>0</v>
      </c>
      <c r="X10" s="1086"/>
      <c r="Y10" s="1086">
        <f>Y11+Y12</f>
        <v>2559000</v>
      </c>
      <c r="Z10" s="1086"/>
      <c r="AA10" s="1086"/>
      <c r="AB10" s="1086">
        <f>AB11+AB12</f>
        <v>2559000</v>
      </c>
      <c r="AC10" s="1086">
        <f>AC11+AC12</f>
        <v>0</v>
      </c>
      <c r="AD10" s="1086">
        <f>AD11+AD12</f>
        <v>0</v>
      </c>
      <c r="AE10" s="1086"/>
      <c r="AF10" s="1086">
        <f>SUM(AF11:AF12)</f>
        <v>0</v>
      </c>
      <c r="AG10" s="1086">
        <f>AG11+AG12</f>
        <v>2000</v>
      </c>
      <c r="AH10" s="1086"/>
      <c r="AI10" s="1086">
        <f>AI11+AI12</f>
        <v>7000</v>
      </c>
      <c r="AJ10" s="1086"/>
      <c r="AK10" s="1086">
        <f>141000-AI11</f>
        <v>134000</v>
      </c>
      <c r="AL10" s="1086"/>
      <c r="AM10" s="1086"/>
      <c r="AN10" s="1087"/>
      <c r="AO10" s="1088"/>
      <c r="AP10" s="1088"/>
      <c r="AQ10" s="1088"/>
      <c r="AR10" s="1075"/>
      <c r="AS10" s="1075"/>
      <c r="AT10" s="1075"/>
      <c r="AU10" s="1075"/>
      <c r="AV10" s="1079">
        <f>AV9-AV8</f>
        <v>144936585.05000001</v>
      </c>
      <c r="AW10" s="1075"/>
      <c r="AX10" s="1075"/>
      <c r="AY10" s="1075"/>
      <c r="AZ10" s="1075"/>
      <c r="BA10" s="1075"/>
      <c r="BB10" s="1075"/>
      <c r="BC10" s="1075"/>
      <c r="BD10" s="1075"/>
      <c r="BE10" s="1075"/>
      <c r="BF10" s="1075"/>
      <c r="BG10" s="1075"/>
      <c r="BH10" s="1075"/>
      <c r="BI10" s="1075"/>
      <c r="BJ10" s="1075"/>
      <c r="BK10" s="1078"/>
      <c r="BL10" s="1075"/>
      <c r="BM10" s="1075"/>
      <c r="BN10" s="1075"/>
      <c r="BO10" s="1075"/>
      <c r="BP10" s="1075"/>
      <c r="BQ10" s="1075"/>
      <c r="BR10" s="1075"/>
      <c r="BS10" s="1075"/>
      <c r="BT10" s="1075"/>
      <c r="BU10" s="1075"/>
      <c r="BV10" s="1075"/>
      <c r="BW10" s="1075"/>
      <c r="BX10" s="1080"/>
      <c r="BY10" s="1075"/>
      <c r="BZ10" s="1089"/>
      <c r="CA10" s="1082"/>
      <c r="CB10" s="1075"/>
      <c r="CC10" s="1075"/>
      <c r="CD10" s="1075"/>
      <c r="CE10" s="1075"/>
      <c r="CF10" s="1075"/>
      <c r="CG10" s="1075"/>
      <c r="CH10" s="1075"/>
      <c r="CI10" s="1075"/>
      <c r="CJ10" s="1075"/>
      <c r="CK10" s="1075"/>
      <c r="CL10" s="1075"/>
      <c r="CM10" s="1075"/>
      <c r="CN10" s="1075"/>
      <c r="CO10" s="1075"/>
      <c r="CP10" s="1075"/>
    </row>
    <row r="11" spans="1:94" s="926" customFormat="1" ht="153.75" customHeight="1" x14ac:dyDescent="0.55000000000000004">
      <c r="A11" s="1069"/>
      <c r="B11" s="1069"/>
      <c r="C11" s="1091" t="s">
        <v>381</v>
      </c>
      <c r="D11" s="1070" t="s">
        <v>250</v>
      </c>
      <c r="E11" s="1094">
        <v>2500000</v>
      </c>
      <c r="F11" s="1094">
        <v>0</v>
      </c>
      <c r="G11" s="1094">
        <f>E11</f>
        <v>2500000</v>
      </c>
      <c r="H11" s="1094">
        <f>2500000-71200-67800</f>
        <v>2361000</v>
      </c>
      <c r="I11" s="1094">
        <v>0</v>
      </c>
      <c r="J11" s="1094">
        <f>H11</f>
        <v>2361000</v>
      </c>
      <c r="K11" s="1249">
        <v>10</v>
      </c>
      <c r="L11" s="1250">
        <v>6</v>
      </c>
      <c r="M11" s="1250"/>
      <c r="N11" s="1250"/>
      <c r="O11" s="1250">
        <v>2</v>
      </c>
      <c r="P11" s="1250"/>
      <c r="Q11" s="1251" t="s">
        <v>185</v>
      </c>
      <c r="R11" s="1251"/>
      <c r="S11" s="1186">
        <v>2359000</v>
      </c>
      <c r="T11" s="1186">
        <v>0</v>
      </c>
      <c r="U11" s="1186">
        <v>2359000</v>
      </c>
      <c r="V11" s="1071">
        <v>0</v>
      </c>
      <c r="W11" s="1071">
        <v>0</v>
      </c>
      <c r="X11" s="1071"/>
      <c r="Y11" s="1071">
        <v>2359000</v>
      </c>
      <c r="Z11" s="1071"/>
      <c r="AA11" s="1071"/>
      <c r="AB11" s="1071">
        <v>2359000</v>
      </c>
      <c r="AC11" s="1071">
        <v>0</v>
      </c>
      <c r="AD11" s="1071">
        <v>0</v>
      </c>
      <c r="AE11" s="1071"/>
      <c r="AF11" s="1071">
        <v>0</v>
      </c>
      <c r="AG11" s="1071">
        <v>2000</v>
      </c>
      <c r="AH11" s="1071"/>
      <c r="AI11" s="1071">
        <v>7000</v>
      </c>
      <c r="AJ11" s="1071"/>
      <c r="AK11" s="1071">
        <f>71200+62800</f>
        <v>134000</v>
      </c>
      <c r="AL11" s="1252" t="s">
        <v>597</v>
      </c>
      <c r="AM11" s="1071"/>
      <c r="AN11" s="1149" t="s">
        <v>788</v>
      </c>
      <c r="AO11" s="1072"/>
      <c r="AP11" s="1072"/>
      <c r="AQ11" s="1072"/>
      <c r="AR11" s="1075"/>
      <c r="AS11" s="1075"/>
      <c r="AT11" s="1075"/>
      <c r="AU11" s="1075"/>
      <c r="AV11" s="1075"/>
      <c r="AW11" s="1075"/>
      <c r="AX11" s="1075"/>
      <c r="AY11" s="1075"/>
      <c r="AZ11" s="1075"/>
      <c r="BA11" s="1075"/>
      <c r="BB11" s="1075"/>
      <c r="BC11" s="1075"/>
      <c r="BD11" s="1075"/>
      <c r="BE11" s="1075"/>
      <c r="BF11" s="1075"/>
      <c r="BG11" s="1075"/>
      <c r="BH11" s="1075"/>
      <c r="BI11" s="1075"/>
      <c r="BJ11" s="1075"/>
      <c r="BK11" s="1078"/>
      <c r="BL11" s="1075"/>
      <c r="BM11" s="1075"/>
      <c r="BN11" s="1075"/>
      <c r="BO11" s="1075"/>
      <c r="BP11" s="1075"/>
      <c r="BQ11" s="1075"/>
      <c r="BR11" s="1075"/>
      <c r="BS11" s="1075"/>
      <c r="BT11" s="1075"/>
      <c r="BU11" s="1075"/>
      <c r="BV11" s="1075"/>
      <c r="BW11" s="1075"/>
      <c r="BX11" s="1080"/>
      <c r="BY11" s="1075"/>
      <c r="BZ11" s="1089"/>
      <c r="CA11" s="1082"/>
      <c r="CB11" s="1075"/>
      <c r="CC11" s="1075"/>
      <c r="CD11" s="1075"/>
      <c r="CE11" s="1075"/>
      <c r="CF11" s="1075"/>
      <c r="CG11" s="1075"/>
      <c r="CH11" s="1075"/>
      <c r="CI11" s="1075"/>
      <c r="CJ11" s="1075"/>
      <c r="CK11" s="1075"/>
      <c r="CL11" s="1075"/>
      <c r="CM11" s="1075"/>
      <c r="CN11" s="1075"/>
      <c r="CO11" s="1075"/>
      <c r="CP11" s="1075"/>
    </row>
    <row r="12" spans="1:94" s="926" customFormat="1" ht="156" customHeight="1" x14ac:dyDescent="0.55000000000000004">
      <c r="A12" s="1069"/>
      <c r="B12" s="1069"/>
      <c r="C12" s="1091" t="s">
        <v>251</v>
      </c>
      <c r="D12" s="1070" t="s">
        <v>373</v>
      </c>
      <c r="E12" s="1094">
        <v>200000</v>
      </c>
      <c r="F12" s="1094">
        <v>0</v>
      </c>
      <c r="G12" s="1094">
        <f>E12+F12</f>
        <v>200000</v>
      </c>
      <c r="H12" s="1094">
        <v>200000</v>
      </c>
      <c r="I12" s="1094">
        <v>0</v>
      </c>
      <c r="J12" s="1094">
        <f>H12+I12</f>
        <v>200000</v>
      </c>
      <c r="K12" s="1249">
        <v>10</v>
      </c>
      <c r="L12" s="1250">
        <v>9</v>
      </c>
      <c r="M12" s="1250"/>
      <c r="N12" s="1250"/>
      <c r="O12" s="1250">
        <v>2</v>
      </c>
      <c r="P12" s="1250"/>
      <c r="Q12" s="1251" t="s">
        <v>185</v>
      </c>
      <c r="R12" s="1251"/>
      <c r="S12" s="1186">
        <v>200000</v>
      </c>
      <c r="T12" s="1186">
        <v>0</v>
      </c>
      <c r="U12" s="1186">
        <f>S12+T12</f>
        <v>200000</v>
      </c>
      <c r="V12" s="1071">
        <v>0</v>
      </c>
      <c r="W12" s="1071">
        <v>0</v>
      </c>
      <c r="X12" s="1071"/>
      <c r="Y12" s="1071">
        <v>200000</v>
      </c>
      <c r="Z12" s="1071"/>
      <c r="AA12" s="1071"/>
      <c r="AB12" s="1071">
        <v>200000</v>
      </c>
      <c r="AC12" s="1071">
        <v>0</v>
      </c>
      <c r="AD12" s="1071">
        <v>0</v>
      </c>
      <c r="AE12" s="1071"/>
      <c r="AF12" s="1071">
        <v>0</v>
      </c>
      <c r="AG12" s="1071">
        <v>0</v>
      </c>
      <c r="AH12" s="1071"/>
      <c r="AI12" s="1071">
        <v>0</v>
      </c>
      <c r="AJ12" s="1071"/>
      <c r="AK12" s="1071">
        <v>0</v>
      </c>
      <c r="AL12" s="1071"/>
      <c r="AM12" s="1071"/>
      <c r="AN12" s="1149" t="s">
        <v>789</v>
      </c>
      <c r="AO12" s="1072"/>
      <c r="AP12" s="1072"/>
      <c r="AQ12" s="1072"/>
      <c r="AR12" s="1075"/>
      <c r="AS12" s="1075"/>
      <c r="AT12" s="1075"/>
      <c r="AU12" s="1075"/>
      <c r="AV12" s="1075"/>
      <c r="AW12" s="1075"/>
      <c r="AX12" s="1075"/>
      <c r="AY12" s="1075"/>
      <c r="AZ12" s="1075"/>
      <c r="BA12" s="1075"/>
      <c r="BB12" s="1075"/>
      <c r="BC12" s="1075"/>
      <c r="BD12" s="1075"/>
      <c r="BE12" s="1075"/>
      <c r="BF12" s="1075"/>
      <c r="BG12" s="1075"/>
      <c r="BH12" s="1075"/>
      <c r="BI12" s="1075"/>
      <c r="BJ12" s="1075"/>
      <c r="BK12" s="1078"/>
      <c r="BL12" s="1075"/>
      <c r="BM12" s="1075"/>
      <c r="BN12" s="1075"/>
      <c r="BO12" s="1075"/>
      <c r="BP12" s="1075"/>
      <c r="BQ12" s="1075"/>
      <c r="BR12" s="1075"/>
      <c r="BS12" s="1075"/>
      <c r="BT12" s="1075"/>
      <c r="BU12" s="1075"/>
      <c r="BV12" s="1075"/>
      <c r="BW12" s="1075"/>
      <c r="BX12" s="1080"/>
      <c r="BY12" s="1075"/>
      <c r="BZ12" s="1089"/>
      <c r="CA12" s="1082"/>
      <c r="CB12" s="1075"/>
      <c r="CC12" s="1075"/>
      <c r="CD12" s="1075"/>
      <c r="CE12" s="1075"/>
      <c r="CF12" s="1075"/>
      <c r="CG12" s="1075"/>
      <c r="CH12" s="1075"/>
      <c r="CI12" s="1075"/>
      <c r="CJ12" s="1075"/>
      <c r="CK12" s="1075"/>
      <c r="CL12" s="1075"/>
      <c r="CM12" s="1075"/>
      <c r="CN12" s="1075"/>
      <c r="CO12" s="1075"/>
      <c r="CP12" s="1075"/>
    </row>
    <row r="13" spans="1:94" s="602" customFormat="1" ht="60.75" customHeight="1" x14ac:dyDescent="0.55000000000000004">
      <c r="A13" s="1083">
        <v>3</v>
      </c>
      <c r="B13" s="1083"/>
      <c r="C13" s="1084" t="s">
        <v>252</v>
      </c>
      <c r="D13" s="1085" t="s">
        <v>253</v>
      </c>
      <c r="E13" s="1147">
        <f t="shared" ref="E13:J13" si="5">SUM(E14:E15)</f>
        <v>136900</v>
      </c>
      <c r="F13" s="1147">
        <f t="shared" si="5"/>
        <v>5589000</v>
      </c>
      <c r="G13" s="1147">
        <f t="shared" si="5"/>
        <v>5725900</v>
      </c>
      <c r="H13" s="1147">
        <f t="shared" si="5"/>
        <v>136900</v>
      </c>
      <c r="I13" s="1147">
        <f t="shared" si="5"/>
        <v>5589000</v>
      </c>
      <c r="J13" s="1147">
        <f t="shared" si="5"/>
        <v>5725900</v>
      </c>
      <c r="K13" s="1177"/>
      <c r="L13" s="1178"/>
      <c r="M13" s="1178"/>
      <c r="N13" s="1178"/>
      <c r="O13" s="1178"/>
      <c r="P13" s="1178"/>
      <c r="Q13" s="1179"/>
      <c r="R13" s="1179"/>
      <c r="S13" s="1180">
        <f>S14+S15</f>
        <v>136900</v>
      </c>
      <c r="T13" s="1180">
        <f>T14+T15</f>
        <v>5580000</v>
      </c>
      <c r="U13" s="1180">
        <f>U14+U15</f>
        <v>5716900</v>
      </c>
      <c r="V13" s="1086">
        <f>SUM(V14:V15)</f>
        <v>0</v>
      </c>
      <c r="W13" s="1086">
        <f>SUM(W14:W15)</f>
        <v>9000</v>
      </c>
      <c r="X13" s="1086"/>
      <c r="Y13" s="1086">
        <f>SUM(Y14:Y15)</f>
        <v>5716900</v>
      </c>
      <c r="Z13" s="1086"/>
      <c r="AA13" s="1086"/>
      <c r="AB13" s="1086">
        <f>AB14+AB15</f>
        <v>136900</v>
      </c>
      <c r="AC13" s="1086">
        <f>AC14+AC15</f>
        <v>5580000</v>
      </c>
      <c r="AD13" s="1086">
        <f>SUM(AD14:AD15)</f>
        <v>0</v>
      </c>
      <c r="AE13" s="1086"/>
      <c r="AF13" s="1086">
        <f>SUM(AF14:AF15)</f>
        <v>0</v>
      </c>
      <c r="AG13" s="1086">
        <f>AG14+AG15</f>
        <v>9000</v>
      </c>
      <c r="AH13" s="1086"/>
      <c r="AI13" s="1086">
        <f>AI14+AI15</f>
        <v>9000</v>
      </c>
      <c r="AJ13" s="1086"/>
      <c r="AK13" s="1086"/>
      <c r="AL13" s="1086"/>
      <c r="AM13" s="1086"/>
      <c r="AN13" s="1087"/>
      <c r="AO13" s="1088"/>
      <c r="AP13" s="1088"/>
      <c r="AQ13" s="1088"/>
      <c r="AR13" s="1075"/>
      <c r="AS13" s="1075"/>
      <c r="AT13" s="1075"/>
      <c r="AU13" s="1075"/>
      <c r="AV13" s="1075"/>
      <c r="AW13" s="1075"/>
      <c r="AX13" s="1075"/>
      <c r="AY13" s="1075"/>
      <c r="AZ13" s="1075"/>
      <c r="BA13" s="1075"/>
      <c r="BB13" s="1075"/>
      <c r="BC13" s="1075"/>
      <c r="BD13" s="1075"/>
      <c r="BE13" s="1075"/>
      <c r="BF13" s="1075"/>
      <c r="BG13" s="1075"/>
      <c r="BH13" s="1075"/>
      <c r="BI13" s="1075"/>
      <c r="BJ13" s="1075"/>
      <c r="BK13" s="1078"/>
      <c r="BL13" s="1075"/>
      <c r="BM13" s="1075"/>
      <c r="BN13" s="1075"/>
      <c r="BO13" s="1075"/>
      <c r="BP13" s="1075"/>
      <c r="BQ13" s="1075"/>
      <c r="BR13" s="1075"/>
      <c r="BS13" s="1075"/>
      <c r="BT13" s="1075"/>
      <c r="BU13" s="1075"/>
      <c r="BV13" s="1075"/>
      <c r="BW13" s="1075"/>
      <c r="BX13" s="1080"/>
      <c r="BY13" s="1075"/>
      <c r="BZ13" s="1089"/>
      <c r="CA13" s="1082"/>
      <c r="CB13" s="1075"/>
      <c r="CC13" s="1075"/>
      <c r="CD13" s="1075"/>
      <c r="CE13" s="1075"/>
      <c r="CF13" s="1075"/>
      <c r="CG13" s="1075"/>
      <c r="CH13" s="1075"/>
      <c r="CI13" s="1075"/>
      <c r="CJ13" s="1075"/>
      <c r="CK13" s="1075"/>
      <c r="CL13" s="1075"/>
      <c r="CM13" s="1075"/>
      <c r="CN13" s="1075"/>
      <c r="CO13" s="1075"/>
      <c r="CP13" s="1075"/>
    </row>
    <row r="14" spans="1:94" s="208" customFormat="1" ht="103.5" customHeight="1" x14ac:dyDescent="0.65">
      <c r="A14" s="1069"/>
      <c r="B14" s="1069"/>
      <c r="C14" s="1091" t="s">
        <v>749</v>
      </c>
      <c r="D14" s="1070" t="s">
        <v>501</v>
      </c>
      <c r="E14" s="1094">
        <v>136900</v>
      </c>
      <c r="F14" s="1094">
        <v>0</v>
      </c>
      <c r="G14" s="1094">
        <f>E14+F14</f>
        <v>136900</v>
      </c>
      <c r="H14" s="1094">
        <v>136900</v>
      </c>
      <c r="I14" s="1094">
        <v>0</v>
      </c>
      <c r="J14" s="1094">
        <f>H14+I14</f>
        <v>136900</v>
      </c>
      <c r="K14" s="1249">
        <v>10</v>
      </c>
      <c r="L14" s="1250">
        <v>2</v>
      </c>
      <c r="M14" s="1250"/>
      <c r="N14" s="1250"/>
      <c r="O14" s="1250">
        <v>2</v>
      </c>
      <c r="P14" s="1250"/>
      <c r="Q14" s="1251" t="s">
        <v>185</v>
      </c>
      <c r="R14" s="1251"/>
      <c r="S14" s="1186">
        <v>136900</v>
      </c>
      <c r="T14" s="1186">
        <v>0</v>
      </c>
      <c r="U14" s="1186">
        <v>136900</v>
      </c>
      <c r="V14" s="1071">
        <v>0</v>
      </c>
      <c r="W14" s="1071">
        <v>0</v>
      </c>
      <c r="X14" s="1071"/>
      <c r="Y14" s="1071">
        <f>131400+5500</f>
        <v>136900</v>
      </c>
      <c r="Z14" s="1071"/>
      <c r="AA14" s="1071"/>
      <c r="AB14" s="1071">
        <v>136900</v>
      </c>
      <c r="AC14" s="1071">
        <v>0</v>
      </c>
      <c r="AD14" s="1071">
        <f t="shared" ref="AD14:AD20" si="6">J14-Y14</f>
        <v>0</v>
      </c>
      <c r="AE14" s="1071"/>
      <c r="AF14" s="1071">
        <v>0</v>
      </c>
      <c r="AG14" s="1071">
        <v>0</v>
      </c>
      <c r="AH14" s="1071"/>
      <c r="AI14" s="1071">
        <v>0</v>
      </c>
      <c r="AJ14" s="1071"/>
      <c r="AK14" s="1071"/>
      <c r="AL14" s="1071"/>
      <c r="AM14" s="1071"/>
      <c r="AN14" s="1149" t="s">
        <v>560</v>
      </c>
      <c r="AO14" s="1090"/>
      <c r="AP14" s="1090"/>
      <c r="AQ14" s="1090"/>
      <c r="AR14" s="1080"/>
      <c r="AS14" s="1080"/>
      <c r="AT14" s="1080"/>
      <c r="AU14" s="1080"/>
      <c r="AV14" s="1080"/>
      <c r="AW14" s="1080"/>
      <c r="AX14" s="1080"/>
      <c r="AY14" s="1080"/>
      <c r="AZ14" s="1080"/>
      <c r="BA14" s="1080"/>
      <c r="BB14" s="1080"/>
      <c r="BC14" s="1080"/>
      <c r="BD14" s="1080"/>
      <c r="BE14" s="1080"/>
      <c r="BF14" s="1080"/>
      <c r="BG14" s="1080"/>
      <c r="BH14" s="1080"/>
      <c r="BI14" s="1080"/>
      <c r="BJ14" s="1080"/>
      <c r="BK14" s="1078"/>
      <c r="BL14" s="1080"/>
      <c r="BM14" s="1080"/>
      <c r="BN14" s="1080"/>
      <c r="BO14" s="1080"/>
      <c r="BP14" s="1080"/>
      <c r="BQ14" s="1080"/>
      <c r="BR14" s="1080"/>
      <c r="BS14" s="1080"/>
      <c r="BT14" s="1080"/>
      <c r="BU14" s="1080"/>
      <c r="BV14" s="1080"/>
      <c r="BW14" s="1080"/>
      <c r="BX14" s="1080"/>
      <c r="BY14" s="1080"/>
      <c r="BZ14" s="1089"/>
      <c r="CA14" s="1082"/>
      <c r="CB14" s="1080"/>
      <c r="CC14" s="1080"/>
      <c r="CD14" s="1080"/>
      <c r="CE14" s="1080"/>
      <c r="CF14" s="1080"/>
      <c r="CG14" s="1080"/>
      <c r="CH14" s="1080"/>
      <c r="CI14" s="1080"/>
      <c r="CJ14" s="1080"/>
      <c r="CK14" s="1080"/>
      <c r="CL14" s="1080"/>
      <c r="CM14" s="1080"/>
      <c r="CN14" s="1080"/>
      <c r="CO14" s="1080"/>
      <c r="CP14" s="1080"/>
    </row>
    <row r="15" spans="1:94" s="209" customFormat="1" ht="117" customHeight="1" x14ac:dyDescent="0.6">
      <c r="A15" s="1069"/>
      <c r="B15" s="1069"/>
      <c r="C15" s="1091" t="s">
        <v>502</v>
      </c>
      <c r="D15" s="1070" t="s">
        <v>750</v>
      </c>
      <c r="E15" s="1094">
        <v>0</v>
      </c>
      <c r="F15" s="1094">
        <v>5589000</v>
      </c>
      <c r="G15" s="1094">
        <f>E15+F15</f>
        <v>5589000</v>
      </c>
      <c r="H15" s="1094">
        <v>0</v>
      </c>
      <c r="I15" s="1094">
        <v>5589000</v>
      </c>
      <c r="J15" s="1094">
        <f>H15+I15</f>
        <v>5589000</v>
      </c>
      <c r="K15" s="1249"/>
      <c r="L15" s="1250"/>
      <c r="M15" s="1250"/>
      <c r="N15" s="1250"/>
      <c r="O15" s="1250"/>
      <c r="P15" s="1250"/>
      <c r="Q15" s="1251" t="s">
        <v>185</v>
      </c>
      <c r="R15" s="1251"/>
      <c r="S15" s="1186">
        <v>0</v>
      </c>
      <c r="T15" s="1186">
        <v>5580000</v>
      </c>
      <c r="U15" s="1186">
        <v>5580000</v>
      </c>
      <c r="V15" s="1071">
        <v>0</v>
      </c>
      <c r="W15" s="1071">
        <v>9000</v>
      </c>
      <c r="X15" s="1071"/>
      <c r="Y15" s="1071">
        <v>5580000</v>
      </c>
      <c r="Z15" s="1071"/>
      <c r="AA15" s="1071"/>
      <c r="AB15" s="1071">
        <v>0</v>
      </c>
      <c r="AC15" s="1071">
        <v>5580000</v>
      </c>
      <c r="AD15" s="1071">
        <v>0</v>
      </c>
      <c r="AE15" s="1071"/>
      <c r="AF15" s="1071">
        <v>0</v>
      </c>
      <c r="AG15" s="1071">
        <v>9000</v>
      </c>
      <c r="AH15" s="1071"/>
      <c r="AI15" s="1071">
        <v>9000</v>
      </c>
      <c r="AJ15" s="1071"/>
      <c r="AK15" s="1071"/>
      <c r="AL15" s="1071"/>
      <c r="AM15" s="1071"/>
      <c r="AN15" s="1253" t="s">
        <v>790</v>
      </c>
      <c r="AO15" s="1072"/>
      <c r="AP15" s="1072"/>
      <c r="AQ15" s="1072"/>
      <c r="AR15" s="1092"/>
      <c r="AS15" s="1092"/>
      <c r="AT15" s="1092"/>
      <c r="AU15" s="1092"/>
      <c r="AV15" s="1092"/>
      <c r="AW15" s="1092"/>
      <c r="AX15" s="1092"/>
      <c r="AY15" s="1092"/>
      <c r="AZ15" s="1092"/>
      <c r="BA15" s="1092"/>
      <c r="BB15" s="1092"/>
      <c r="BC15" s="1092"/>
      <c r="BD15" s="1092"/>
      <c r="BE15" s="1092"/>
      <c r="BF15" s="1092"/>
      <c r="BG15" s="1092"/>
      <c r="BH15" s="1092"/>
      <c r="BI15" s="1092"/>
      <c r="BJ15" s="1092"/>
      <c r="BK15" s="1078"/>
      <c r="BL15" s="1092"/>
      <c r="BM15" s="1092"/>
      <c r="BN15" s="1092"/>
      <c r="BO15" s="1092"/>
      <c r="BP15" s="1092"/>
      <c r="BQ15" s="1092"/>
      <c r="BR15" s="1092"/>
      <c r="BS15" s="1092"/>
      <c r="BT15" s="1092"/>
      <c r="BU15" s="1092"/>
      <c r="BV15" s="1092"/>
      <c r="BW15" s="1092"/>
      <c r="BX15" s="1080"/>
      <c r="BY15" s="1092"/>
      <c r="BZ15" s="1089"/>
      <c r="CA15" s="1082"/>
      <c r="CB15" s="1092"/>
      <c r="CC15" s="1092"/>
      <c r="CD15" s="1092"/>
      <c r="CE15" s="1092"/>
      <c r="CF15" s="1092"/>
      <c r="CG15" s="1092"/>
      <c r="CH15" s="1092"/>
      <c r="CI15" s="1092"/>
      <c r="CJ15" s="1092"/>
      <c r="CK15" s="1092"/>
      <c r="CL15" s="1092"/>
      <c r="CM15" s="1092"/>
      <c r="CN15" s="1092"/>
      <c r="CO15" s="1092"/>
      <c r="CP15" s="1092"/>
    </row>
    <row r="16" spans="1:94" s="928" customFormat="1" ht="53.45" customHeight="1" x14ac:dyDescent="0.6">
      <c r="A16" s="1083">
        <v>4</v>
      </c>
      <c r="B16" s="1083"/>
      <c r="C16" s="1084" t="s">
        <v>254</v>
      </c>
      <c r="D16" s="1085" t="s">
        <v>248</v>
      </c>
      <c r="E16" s="1147">
        <f t="shared" ref="E16:J16" si="7">SUM(E17:E20)</f>
        <v>868100</v>
      </c>
      <c r="F16" s="1147">
        <f t="shared" si="7"/>
        <v>0</v>
      </c>
      <c r="G16" s="1147">
        <f t="shared" si="7"/>
        <v>868100</v>
      </c>
      <c r="H16" s="1147">
        <f t="shared" si="7"/>
        <v>868100</v>
      </c>
      <c r="I16" s="1147">
        <f t="shared" si="7"/>
        <v>0</v>
      </c>
      <c r="J16" s="1147">
        <f t="shared" si="7"/>
        <v>868100</v>
      </c>
      <c r="K16" s="1177"/>
      <c r="L16" s="1178"/>
      <c r="M16" s="1178"/>
      <c r="N16" s="1178"/>
      <c r="O16" s="1178"/>
      <c r="P16" s="1178"/>
      <c r="Q16" s="1179"/>
      <c r="R16" s="1179"/>
      <c r="S16" s="1180">
        <f>S17+S18+S19+S20</f>
        <v>860900</v>
      </c>
      <c r="T16" s="1180">
        <f>T17+T18+T19+T20</f>
        <v>0</v>
      </c>
      <c r="U16" s="1180">
        <f>U17+U18+U19+U20</f>
        <v>860900</v>
      </c>
      <c r="V16" s="1086">
        <f>V17+V18+V19+V20</f>
        <v>0</v>
      </c>
      <c r="W16" s="1086">
        <f>SUM(W17:W20)</f>
        <v>0</v>
      </c>
      <c r="X16" s="1086"/>
      <c r="Y16" s="1086">
        <f>SUM(Y17:Y20)</f>
        <v>860900</v>
      </c>
      <c r="Z16" s="1086"/>
      <c r="AA16" s="1086"/>
      <c r="AB16" s="1086">
        <f>AB17+AB18+AB19+AB20</f>
        <v>860900</v>
      </c>
      <c r="AC16" s="1086">
        <f>AC17+AC18+AC19+AC20</f>
        <v>0</v>
      </c>
      <c r="AD16" s="1086">
        <f>AD17+AD18+AD19+AD20</f>
        <v>0</v>
      </c>
      <c r="AE16" s="1086"/>
      <c r="AF16" s="1086">
        <f>SUM(AF17:AF20)</f>
        <v>0</v>
      </c>
      <c r="AG16" s="1086">
        <f>AG17+AG18+AG19+AG20</f>
        <v>7200</v>
      </c>
      <c r="AH16" s="1086"/>
      <c r="AI16" s="1086">
        <f>AI17+AI18+AI19+AI20</f>
        <v>7200</v>
      </c>
      <c r="AJ16" s="1086"/>
      <c r="AK16" s="1086"/>
      <c r="AL16" s="1086"/>
      <c r="AM16" s="1086"/>
      <c r="AN16" s="1087"/>
      <c r="AO16" s="1088"/>
      <c r="AP16" s="1088"/>
      <c r="AQ16" s="1093"/>
      <c r="AR16" s="1092"/>
      <c r="AS16" s="1092"/>
      <c r="AT16" s="1092"/>
      <c r="AU16" s="1092"/>
      <c r="AV16" s="1092"/>
      <c r="AW16" s="1092"/>
      <c r="AX16" s="1092"/>
      <c r="AY16" s="1092"/>
      <c r="AZ16" s="1092"/>
      <c r="BA16" s="1092"/>
      <c r="BB16" s="1092"/>
      <c r="BC16" s="1092"/>
      <c r="BD16" s="1092"/>
      <c r="BE16" s="1092"/>
      <c r="BF16" s="1092"/>
      <c r="BG16" s="1092"/>
      <c r="BH16" s="1092"/>
      <c r="BI16" s="1092"/>
      <c r="BJ16" s="1092"/>
      <c r="BK16" s="1078"/>
      <c r="BL16" s="1092"/>
      <c r="BM16" s="1092"/>
      <c r="BN16" s="1092"/>
      <c r="BO16" s="1092"/>
      <c r="BP16" s="1092"/>
      <c r="BQ16" s="1092"/>
      <c r="BR16" s="1092"/>
      <c r="BS16" s="1092"/>
      <c r="BT16" s="1092"/>
      <c r="BU16" s="1092"/>
      <c r="BV16" s="1092"/>
      <c r="BW16" s="1092"/>
      <c r="BX16" s="1080"/>
      <c r="BY16" s="1092"/>
      <c r="BZ16" s="1089"/>
      <c r="CA16" s="1082"/>
      <c r="CB16" s="1092"/>
      <c r="CC16" s="1092"/>
      <c r="CD16" s="1092"/>
      <c r="CE16" s="1092"/>
      <c r="CF16" s="1092"/>
      <c r="CG16" s="1092"/>
      <c r="CH16" s="1092"/>
      <c r="CI16" s="1092"/>
      <c r="CJ16" s="1092"/>
      <c r="CK16" s="1092"/>
      <c r="CL16" s="1092"/>
      <c r="CM16" s="1092"/>
      <c r="CN16" s="1092"/>
      <c r="CO16" s="1092"/>
      <c r="CP16" s="1092"/>
    </row>
    <row r="17" spans="1:94" s="204" customFormat="1" ht="60.75" customHeight="1" x14ac:dyDescent="0.2">
      <c r="A17" s="1069"/>
      <c r="B17" s="1069"/>
      <c r="C17" s="1091" t="s">
        <v>705</v>
      </c>
      <c r="D17" s="1085" t="s">
        <v>248</v>
      </c>
      <c r="E17" s="1094">
        <v>227100</v>
      </c>
      <c r="F17" s="1094">
        <v>0</v>
      </c>
      <c r="G17" s="1094">
        <f>E17+F17</f>
        <v>227100</v>
      </c>
      <c r="H17" s="1094">
        <v>227100</v>
      </c>
      <c r="I17" s="1094">
        <v>0</v>
      </c>
      <c r="J17" s="1094">
        <f>H17+I17</f>
        <v>227100</v>
      </c>
      <c r="K17" s="1249">
        <v>11</v>
      </c>
      <c r="L17" s="1250">
        <v>3</v>
      </c>
      <c r="M17" s="1250"/>
      <c r="N17" s="1250"/>
      <c r="O17" s="1250">
        <v>2</v>
      </c>
      <c r="P17" s="1250"/>
      <c r="Q17" s="1251" t="s">
        <v>185</v>
      </c>
      <c r="R17" s="1251"/>
      <c r="S17" s="1186">
        <v>219900</v>
      </c>
      <c r="T17" s="1186"/>
      <c r="U17" s="1186">
        <v>219900</v>
      </c>
      <c r="V17" s="1071">
        <v>0</v>
      </c>
      <c r="W17" s="1071">
        <v>0</v>
      </c>
      <c r="X17" s="1071"/>
      <c r="Y17" s="1071">
        <f>26400+15400+13800+8050+2400+1400+1050+100100+25650+25650</f>
        <v>219900</v>
      </c>
      <c r="Z17" s="1071"/>
      <c r="AA17" s="1071"/>
      <c r="AB17" s="1071">
        <f>Y17</f>
        <v>219900</v>
      </c>
      <c r="AC17" s="1071">
        <v>0</v>
      </c>
      <c r="AD17" s="1071">
        <v>0</v>
      </c>
      <c r="AE17" s="1071"/>
      <c r="AF17" s="1071">
        <v>0</v>
      </c>
      <c r="AG17" s="1071">
        <v>7200</v>
      </c>
      <c r="AH17" s="1071"/>
      <c r="AI17" s="1071">
        <v>7200</v>
      </c>
      <c r="AJ17" s="1071"/>
      <c r="AK17" s="1071"/>
      <c r="AL17" s="1071"/>
      <c r="AM17" s="1071"/>
      <c r="AN17" s="1149" t="s">
        <v>493</v>
      </c>
      <c r="AO17" s="1095" t="s">
        <v>395</v>
      </c>
      <c r="AP17" s="1072" t="s">
        <v>417</v>
      </c>
      <c r="AQ17" s="1072"/>
      <c r="AR17" s="1077" t="s">
        <v>426</v>
      </c>
      <c r="AS17" s="1096" t="s">
        <v>446</v>
      </c>
      <c r="AT17" s="1096"/>
      <c r="AU17" s="1097" t="s">
        <v>452</v>
      </c>
      <c r="AV17" s="1097"/>
      <c r="AW17" s="1077"/>
      <c r="AX17" s="1077"/>
      <c r="AY17" s="1077"/>
      <c r="AZ17" s="1077"/>
      <c r="BA17" s="1077"/>
      <c r="BB17" s="1077"/>
      <c r="BC17" s="1077"/>
      <c r="BD17" s="1077"/>
      <c r="BE17" s="1077"/>
      <c r="BF17" s="1077"/>
      <c r="BG17" s="1077"/>
      <c r="BH17" s="1077"/>
      <c r="BI17" s="1077"/>
      <c r="BJ17" s="1077"/>
      <c r="BK17" s="1098" t="s">
        <v>492</v>
      </c>
      <c r="BL17" s="1077"/>
      <c r="BM17" s="1077"/>
      <c r="BN17" s="1077"/>
      <c r="BO17" s="1077"/>
      <c r="BP17" s="1077"/>
      <c r="BQ17" s="1077"/>
      <c r="BR17" s="1077"/>
      <c r="BS17" s="1077"/>
      <c r="BT17" s="1077"/>
      <c r="BU17" s="1077"/>
      <c r="BV17" s="1077"/>
      <c r="BW17" s="1077"/>
      <c r="BX17" s="1099"/>
      <c r="BY17" s="1077"/>
      <c r="BZ17" s="1082"/>
      <c r="CA17" s="1082"/>
      <c r="CB17" s="1077"/>
      <c r="CC17" s="1077"/>
      <c r="CD17" s="1077"/>
      <c r="CE17" s="1077"/>
      <c r="CF17" s="1077"/>
      <c r="CG17" s="1077"/>
      <c r="CH17" s="1077"/>
      <c r="CI17" s="1077"/>
      <c r="CJ17" s="1077"/>
      <c r="CK17" s="1077"/>
      <c r="CL17" s="1077"/>
      <c r="CM17" s="1077"/>
      <c r="CN17" s="1077"/>
      <c r="CO17" s="1077"/>
      <c r="CP17" s="1077"/>
    </row>
    <row r="18" spans="1:94" s="926" customFormat="1" ht="45.75" customHeight="1" x14ac:dyDescent="0.55000000000000004">
      <c r="A18" s="1069"/>
      <c r="B18" s="1069"/>
      <c r="C18" s="1091" t="s">
        <v>255</v>
      </c>
      <c r="D18" s="1085" t="s">
        <v>248</v>
      </c>
      <c r="E18" s="1094">
        <v>216700</v>
      </c>
      <c r="F18" s="1094">
        <v>0</v>
      </c>
      <c r="G18" s="1094">
        <f>E18+F18</f>
        <v>216700</v>
      </c>
      <c r="H18" s="1094">
        <v>216700</v>
      </c>
      <c r="I18" s="1094">
        <v>0</v>
      </c>
      <c r="J18" s="1094">
        <f>H18+I18</f>
        <v>216700</v>
      </c>
      <c r="K18" s="1249">
        <v>12</v>
      </c>
      <c r="L18" s="1250">
        <v>1</v>
      </c>
      <c r="M18" s="1250"/>
      <c r="N18" s="1250"/>
      <c r="O18" s="1250">
        <v>2</v>
      </c>
      <c r="P18" s="1250"/>
      <c r="Q18" s="1251" t="s">
        <v>185</v>
      </c>
      <c r="R18" s="1251"/>
      <c r="S18" s="1186">
        <v>216700</v>
      </c>
      <c r="T18" s="1186">
        <v>0</v>
      </c>
      <c r="U18" s="1186">
        <v>216700</v>
      </c>
      <c r="V18" s="1071">
        <v>0</v>
      </c>
      <c r="W18" s="1071">
        <v>0</v>
      </c>
      <c r="X18" s="1071"/>
      <c r="Y18" s="1071">
        <v>216700</v>
      </c>
      <c r="Z18" s="1071"/>
      <c r="AA18" s="1071"/>
      <c r="AB18" s="1071">
        <f>Y18</f>
        <v>216700</v>
      </c>
      <c r="AC18" s="1071">
        <v>0</v>
      </c>
      <c r="AD18" s="1071">
        <f t="shared" si="6"/>
        <v>0</v>
      </c>
      <c r="AE18" s="1071"/>
      <c r="AF18" s="1071">
        <v>0</v>
      </c>
      <c r="AG18" s="1071"/>
      <c r="AH18" s="1071"/>
      <c r="AI18" s="1071"/>
      <c r="AJ18" s="1071"/>
      <c r="AK18" s="1071"/>
      <c r="AL18" s="1071"/>
      <c r="AM18" s="1071"/>
      <c r="AN18" s="1140" t="s">
        <v>498</v>
      </c>
      <c r="AO18" s="1090"/>
      <c r="AP18" s="1090" t="s">
        <v>400</v>
      </c>
      <c r="AQ18" s="1090"/>
      <c r="AR18" s="1077" t="s">
        <v>427</v>
      </c>
      <c r="AS18" s="1100"/>
      <c r="AT18" s="1100"/>
      <c r="AU18" s="1100"/>
      <c r="AV18" s="1100"/>
      <c r="AW18" s="1075"/>
      <c r="AX18" s="1075"/>
      <c r="AY18" s="1075"/>
      <c r="AZ18" s="1075"/>
      <c r="BA18" s="1075"/>
      <c r="BB18" s="1075"/>
      <c r="BC18" s="1075"/>
      <c r="BD18" s="1075"/>
      <c r="BE18" s="1075"/>
      <c r="BF18" s="1075"/>
      <c r="BG18" s="1075"/>
      <c r="BH18" s="1075"/>
      <c r="BI18" s="1075"/>
      <c r="BJ18" s="1075"/>
      <c r="BK18" s="1078"/>
      <c r="BL18" s="1075"/>
      <c r="BM18" s="1075"/>
      <c r="BN18" s="1075"/>
      <c r="BO18" s="1075"/>
      <c r="BP18" s="1075"/>
      <c r="BQ18" s="1075"/>
      <c r="BR18" s="1075"/>
      <c r="BS18" s="1075"/>
      <c r="BT18" s="1075"/>
      <c r="BU18" s="1075"/>
      <c r="BV18" s="1075"/>
      <c r="BW18" s="1075"/>
      <c r="BX18" s="1080"/>
      <c r="BY18" s="1075"/>
      <c r="BZ18" s="1089"/>
      <c r="CA18" s="1082"/>
      <c r="CB18" s="1075"/>
      <c r="CC18" s="1075"/>
      <c r="CD18" s="1075"/>
      <c r="CE18" s="1075"/>
      <c r="CF18" s="1075"/>
      <c r="CG18" s="1075"/>
      <c r="CH18" s="1075"/>
      <c r="CI18" s="1075"/>
      <c r="CJ18" s="1075"/>
      <c r="CK18" s="1075"/>
      <c r="CL18" s="1075"/>
      <c r="CM18" s="1075"/>
      <c r="CN18" s="1075"/>
      <c r="CO18" s="1075"/>
      <c r="CP18" s="1075"/>
    </row>
    <row r="19" spans="1:94" s="926" customFormat="1" ht="71.25" customHeight="1" x14ac:dyDescent="0.55000000000000004">
      <c r="A19" s="1069"/>
      <c r="B19" s="1069"/>
      <c r="C19" s="1091" t="s">
        <v>791</v>
      </c>
      <c r="D19" s="1085" t="s">
        <v>248</v>
      </c>
      <c r="E19" s="1094">
        <v>210000</v>
      </c>
      <c r="F19" s="1094">
        <v>0</v>
      </c>
      <c r="G19" s="1094">
        <f>E19+F19</f>
        <v>210000</v>
      </c>
      <c r="H19" s="1094">
        <v>210000</v>
      </c>
      <c r="I19" s="1094">
        <v>0</v>
      </c>
      <c r="J19" s="1094">
        <f>H19+I19</f>
        <v>210000</v>
      </c>
      <c r="K19" s="1249">
        <v>12</v>
      </c>
      <c r="L19" s="1250">
        <v>9</v>
      </c>
      <c r="M19" s="1250"/>
      <c r="N19" s="1250"/>
      <c r="O19" s="1250">
        <v>2</v>
      </c>
      <c r="P19" s="1250"/>
      <c r="Q19" s="1251" t="s">
        <v>185</v>
      </c>
      <c r="R19" s="1251"/>
      <c r="S19" s="1186">
        <v>210000</v>
      </c>
      <c r="T19" s="1186">
        <v>0</v>
      </c>
      <c r="U19" s="1186">
        <v>210000</v>
      </c>
      <c r="V19" s="1071">
        <v>0</v>
      </c>
      <c r="W19" s="1071">
        <v>0</v>
      </c>
      <c r="X19" s="1071"/>
      <c r="Y19" s="1071">
        <v>210000</v>
      </c>
      <c r="Z19" s="1071"/>
      <c r="AA19" s="1071"/>
      <c r="AB19" s="1071">
        <f>Y19</f>
        <v>210000</v>
      </c>
      <c r="AC19" s="1071">
        <v>0</v>
      </c>
      <c r="AD19" s="1071">
        <f t="shared" si="6"/>
        <v>0</v>
      </c>
      <c r="AE19" s="1071"/>
      <c r="AF19" s="1071">
        <v>0</v>
      </c>
      <c r="AG19" s="1071"/>
      <c r="AH19" s="1071"/>
      <c r="AI19" s="1071">
        <v>0</v>
      </c>
      <c r="AJ19" s="1071"/>
      <c r="AK19" s="1071"/>
      <c r="AL19" s="1071"/>
      <c r="AM19" s="1071"/>
      <c r="AN19" s="1149" t="s">
        <v>579</v>
      </c>
      <c r="AO19" s="1090"/>
      <c r="AP19" s="1090"/>
      <c r="AQ19" s="1101" t="s">
        <v>404</v>
      </c>
      <c r="AR19" s="1077"/>
      <c r="AS19" s="1102"/>
      <c r="AT19" s="1102"/>
      <c r="AU19" s="1102"/>
      <c r="AV19" s="1102"/>
      <c r="AW19" s="1075"/>
      <c r="AX19" s="1075"/>
      <c r="AY19" s="1075"/>
      <c r="AZ19" s="1075"/>
      <c r="BA19" s="1075"/>
      <c r="BB19" s="1075"/>
      <c r="BC19" s="1075"/>
      <c r="BD19" s="1075"/>
      <c r="BE19" s="1075"/>
      <c r="BF19" s="1075"/>
      <c r="BG19" s="1075"/>
      <c r="BH19" s="1075"/>
      <c r="BI19" s="1075"/>
      <c r="BJ19" s="1075"/>
      <c r="BK19" s="1078"/>
      <c r="BL19" s="1075"/>
      <c r="BM19" s="1075"/>
      <c r="BN19" s="1075"/>
      <c r="BO19" s="1075"/>
      <c r="BP19" s="1075"/>
      <c r="BQ19" s="1075"/>
      <c r="BR19" s="1075"/>
      <c r="BS19" s="1075"/>
      <c r="BT19" s="1075"/>
      <c r="BU19" s="1075"/>
      <c r="BV19" s="1075"/>
      <c r="BW19" s="1075"/>
      <c r="BX19" s="1080"/>
      <c r="BY19" s="1075"/>
      <c r="BZ19" s="1089"/>
      <c r="CA19" s="1082"/>
      <c r="CB19" s="1075"/>
      <c r="CC19" s="1075"/>
      <c r="CD19" s="1075"/>
      <c r="CE19" s="1075"/>
      <c r="CF19" s="1075"/>
      <c r="CG19" s="1075"/>
      <c r="CH19" s="1075"/>
      <c r="CI19" s="1075"/>
      <c r="CJ19" s="1075"/>
      <c r="CK19" s="1075"/>
      <c r="CL19" s="1075"/>
      <c r="CM19" s="1075"/>
      <c r="CN19" s="1075"/>
      <c r="CO19" s="1075"/>
      <c r="CP19" s="1075"/>
    </row>
    <row r="20" spans="1:94" s="926" customFormat="1" ht="57" customHeight="1" x14ac:dyDescent="0.55000000000000004">
      <c r="A20" s="1254"/>
      <c r="B20" s="1254"/>
      <c r="C20" s="1255" t="s">
        <v>256</v>
      </c>
      <c r="D20" s="1256" t="s">
        <v>248</v>
      </c>
      <c r="E20" s="1094">
        <v>214300</v>
      </c>
      <c r="F20" s="1094">
        <v>0</v>
      </c>
      <c r="G20" s="1094">
        <f>E20+F20</f>
        <v>214300</v>
      </c>
      <c r="H20" s="1094">
        <v>214300</v>
      </c>
      <c r="I20" s="1094">
        <v>0</v>
      </c>
      <c r="J20" s="1094">
        <f>H20+I20</f>
        <v>214300</v>
      </c>
      <c r="K20" s="1257">
        <v>12</v>
      </c>
      <c r="L20" s="1258">
        <v>12</v>
      </c>
      <c r="M20" s="1258"/>
      <c r="N20" s="1258"/>
      <c r="O20" s="1258">
        <v>2</v>
      </c>
      <c r="P20" s="1258"/>
      <c r="Q20" s="1259" t="s">
        <v>185</v>
      </c>
      <c r="R20" s="1259"/>
      <c r="S20" s="1260">
        <v>214300</v>
      </c>
      <c r="T20" s="1260">
        <v>0</v>
      </c>
      <c r="U20" s="1260">
        <v>214300</v>
      </c>
      <c r="V20" s="1113">
        <v>0</v>
      </c>
      <c r="W20" s="1113">
        <v>0</v>
      </c>
      <c r="X20" s="1113"/>
      <c r="Y20" s="1113">
        <f>2400+7800+4550+4550+195000</f>
        <v>214300</v>
      </c>
      <c r="Z20" s="1113"/>
      <c r="AA20" s="1113"/>
      <c r="AB20" s="1071">
        <f>Y20</f>
        <v>214300</v>
      </c>
      <c r="AC20" s="1113">
        <v>0</v>
      </c>
      <c r="AD20" s="1113">
        <f t="shared" si="6"/>
        <v>0</v>
      </c>
      <c r="AE20" s="1113"/>
      <c r="AF20" s="1113">
        <v>0</v>
      </c>
      <c r="AG20" s="1103"/>
      <c r="AH20" s="1103"/>
      <c r="AI20" s="1103"/>
      <c r="AJ20" s="1103"/>
      <c r="AK20" s="1103"/>
      <c r="AL20" s="1103"/>
      <c r="AM20" s="1103"/>
      <c r="AN20" s="1140" t="s">
        <v>498</v>
      </c>
      <c r="AO20" s="1090"/>
      <c r="AP20" s="1090"/>
      <c r="AQ20" s="1095" t="s">
        <v>418</v>
      </c>
      <c r="AR20" s="1075"/>
      <c r="AS20" s="1075"/>
      <c r="AT20" s="1075"/>
      <c r="AU20" s="1075"/>
      <c r="AV20" s="1075"/>
      <c r="AW20" s="1075"/>
      <c r="AX20" s="1077" t="s">
        <v>465</v>
      </c>
      <c r="AY20" s="1075"/>
      <c r="AZ20" s="1075"/>
      <c r="BA20" s="1075"/>
      <c r="BB20" s="1075"/>
      <c r="BC20" s="1075"/>
      <c r="BD20" s="1075"/>
      <c r="BE20" s="1075"/>
      <c r="BF20" s="1075"/>
      <c r="BG20" s="1075"/>
      <c r="BH20" s="1075"/>
      <c r="BI20" s="1075"/>
      <c r="BJ20" s="1075"/>
      <c r="BK20" s="1078"/>
      <c r="BL20" s="1075"/>
      <c r="BM20" s="1075"/>
      <c r="BN20" s="1075"/>
      <c r="BO20" s="1075"/>
      <c r="BP20" s="1075"/>
      <c r="BQ20" s="1075"/>
      <c r="BR20" s="1075"/>
      <c r="BS20" s="1075"/>
      <c r="BT20" s="1075"/>
      <c r="BU20" s="1075"/>
      <c r="BV20" s="1075"/>
      <c r="BW20" s="1075"/>
      <c r="BX20" s="1080"/>
      <c r="BY20" s="1075"/>
      <c r="BZ20" s="1089"/>
      <c r="CA20" s="1082"/>
      <c r="CB20" s="1075"/>
      <c r="CC20" s="1075"/>
      <c r="CD20" s="1075"/>
      <c r="CE20" s="1075"/>
      <c r="CF20" s="1075"/>
      <c r="CG20" s="1075"/>
      <c r="CH20" s="1075"/>
      <c r="CI20" s="1075"/>
      <c r="CJ20" s="1075"/>
      <c r="CK20" s="1075"/>
      <c r="CL20" s="1075"/>
      <c r="CM20" s="1075"/>
      <c r="CN20" s="1075"/>
      <c r="CO20" s="1075"/>
      <c r="CP20" s="1075"/>
    </row>
    <row r="21" spans="1:94" s="927" customFormat="1" ht="85.5" customHeight="1" x14ac:dyDescent="0.55000000000000004">
      <c r="A21" s="1083">
        <v>5</v>
      </c>
      <c r="B21" s="1083"/>
      <c r="C21" s="1084" t="s">
        <v>257</v>
      </c>
      <c r="D21" s="1104" t="s">
        <v>258</v>
      </c>
      <c r="E21" s="1147">
        <f t="shared" ref="E21:J21" si="8">SUM(E22:E25)</f>
        <v>1158600</v>
      </c>
      <c r="F21" s="1147">
        <f t="shared" si="8"/>
        <v>495000</v>
      </c>
      <c r="G21" s="1147">
        <f t="shared" si="8"/>
        <v>1653600</v>
      </c>
      <c r="H21" s="1147">
        <f t="shared" si="8"/>
        <v>1158600</v>
      </c>
      <c r="I21" s="1147">
        <f t="shared" si="8"/>
        <v>495000</v>
      </c>
      <c r="J21" s="1147">
        <f t="shared" si="8"/>
        <v>1653600</v>
      </c>
      <c r="K21" s="1177"/>
      <c r="L21" s="1178"/>
      <c r="M21" s="1178"/>
      <c r="N21" s="1178"/>
      <c r="O21" s="1178"/>
      <c r="P21" s="1178"/>
      <c r="Q21" s="1179"/>
      <c r="R21" s="1179"/>
      <c r="S21" s="1180">
        <f>S22+S23+S24+S25</f>
        <v>1142740</v>
      </c>
      <c r="T21" s="1180">
        <f>T22+T23+T24+T25</f>
        <v>495000</v>
      </c>
      <c r="U21" s="1180">
        <f>U22+U23+U24+U25</f>
        <v>1637740</v>
      </c>
      <c r="V21" s="1086">
        <f>SUM(V22:V25)</f>
        <v>0</v>
      </c>
      <c r="W21" s="1086">
        <f>SUM(W22:W25)</f>
        <v>1660</v>
      </c>
      <c r="X21" s="1086"/>
      <c r="Y21" s="1086">
        <f>Y22+Y23+Y24+Y25</f>
        <v>1637740</v>
      </c>
      <c r="Z21" s="1086"/>
      <c r="AA21" s="1086"/>
      <c r="AB21" s="1086">
        <f>AB22+AB23+AB24+AB25</f>
        <v>1142740</v>
      </c>
      <c r="AC21" s="1086">
        <f>AC22+AC23+AC24+AC25</f>
        <v>495000</v>
      </c>
      <c r="AD21" s="1086">
        <f>SUM(AD22:AD25)</f>
        <v>0</v>
      </c>
      <c r="AE21" s="1086"/>
      <c r="AF21" s="1086">
        <f>SUM(AF22:AF25)</f>
        <v>0</v>
      </c>
      <c r="AG21" s="1086">
        <f>AG22+AG23+AG24+AG25</f>
        <v>15860</v>
      </c>
      <c r="AH21" s="1086"/>
      <c r="AI21" s="1086">
        <f>AI22+AI23+AI24+AI25</f>
        <v>15860</v>
      </c>
      <c r="AJ21" s="1086"/>
      <c r="AK21" s="1086"/>
      <c r="AL21" s="1086"/>
      <c r="AM21" s="1086"/>
      <c r="AN21" s="1154"/>
      <c r="AO21" s="1105"/>
      <c r="AP21" s="1105"/>
      <c r="AQ21" s="1105"/>
      <c r="AR21" s="1075"/>
      <c r="AS21" s="1075"/>
      <c r="AT21" s="1075"/>
      <c r="AU21" s="1075"/>
      <c r="AV21" s="1075"/>
      <c r="AW21" s="1075"/>
      <c r="AX21" s="1075"/>
      <c r="AY21" s="1075"/>
      <c r="AZ21" s="1075"/>
      <c r="BA21" s="1075"/>
      <c r="BB21" s="1075"/>
      <c r="BC21" s="1075"/>
      <c r="BD21" s="1075"/>
      <c r="BE21" s="1075"/>
      <c r="BF21" s="1075"/>
      <c r="BG21" s="1075"/>
      <c r="BH21" s="1075"/>
      <c r="BI21" s="1075"/>
      <c r="BJ21" s="1075"/>
      <c r="BK21" s="1078"/>
      <c r="BL21" s="1075"/>
      <c r="BM21" s="1075"/>
      <c r="BN21" s="1075"/>
      <c r="BO21" s="1075"/>
      <c r="BP21" s="1075"/>
      <c r="BQ21" s="1075"/>
      <c r="BR21" s="1075"/>
      <c r="BS21" s="1075"/>
      <c r="BT21" s="1075"/>
      <c r="BU21" s="1075"/>
      <c r="BV21" s="1075"/>
      <c r="BW21" s="1075"/>
      <c r="BX21" s="1080"/>
      <c r="BY21" s="1075"/>
      <c r="BZ21" s="1089"/>
      <c r="CA21" s="1081"/>
      <c r="CB21" s="1075"/>
      <c r="CC21" s="1075"/>
      <c r="CD21" s="1075"/>
      <c r="CE21" s="1075"/>
      <c r="CF21" s="1075"/>
      <c r="CG21" s="1075"/>
      <c r="CH21" s="1075"/>
      <c r="CI21" s="1075"/>
      <c r="CJ21" s="1075"/>
      <c r="CK21" s="1075"/>
      <c r="CL21" s="1075"/>
      <c r="CM21" s="1075"/>
      <c r="CN21" s="1075"/>
      <c r="CO21" s="1075"/>
      <c r="CP21" s="1075"/>
    </row>
    <row r="22" spans="1:94" s="926" customFormat="1" ht="67.5" customHeight="1" x14ac:dyDescent="0.55000000000000004">
      <c r="A22" s="1069"/>
      <c r="B22" s="1069"/>
      <c r="C22" s="1109" t="s">
        <v>259</v>
      </c>
      <c r="D22" s="1106" t="s">
        <v>261</v>
      </c>
      <c r="E22" s="1094">
        <v>84200</v>
      </c>
      <c r="F22" s="1094">
        <v>0</v>
      </c>
      <c r="G22" s="1094">
        <f>E22+F22</f>
        <v>84200</v>
      </c>
      <c r="H22" s="1094">
        <v>84200</v>
      </c>
      <c r="I22" s="1094">
        <v>0</v>
      </c>
      <c r="J22" s="1094">
        <f>H22+I22</f>
        <v>84200</v>
      </c>
      <c r="K22" s="1249">
        <v>1</v>
      </c>
      <c r="L22" s="1250">
        <v>3</v>
      </c>
      <c r="M22" s="1250"/>
      <c r="N22" s="1250"/>
      <c r="O22" s="1250">
        <v>2</v>
      </c>
      <c r="P22" s="1250"/>
      <c r="Q22" s="1251" t="s">
        <v>185</v>
      </c>
      <c r="R22" s="1251"/>
      <c r="S22" s="1186">
        <f>J22-AG22</f>
        <v>82540</v>
      </c>
      <c r="T22" s="1186">
        <v>0</v>
      </c>
      <c r="U22" s="1186">
        <f t="shared" ref="U22:U31" si="9">S22+T22</f>
        <v>82540</v>
      </c>
      <c r="V22" s="1071">
        <v>0</v>
      </c>
      <c r="W22" s="1071">
        <v>1660</v>
      </c>
      <c r="X22" s="1071"/>
      <c r="Y22" s="1071">
        <f>48410+4000+8130+22000</f>
        <v>82540</v>
      </c>
      <c r="Z22" s="1071"/>
      <c r="AA22" s="1071"/>
      <c r="AB22" s="1071">
        <f>Y22</f>
        <v>82540</v>
      </c>
      <c r="AC22" s="1071">
        <v>0</v>
      </c>
      <c r="AD22" s="1071">
        <f>J22-W22-Y22</f>
        <v>0</v>
      </c>
      <c r="AE22" s="1071"/>
      <c r="AF22" s="1071">
        <v>0</v>
      </c>
      <c r="AG22" s="1071">
        <f>J22-AB22</f>
        <v>1660</v>
      </c>
      <c r="AH22" s="1071"/>
      <c r="AI22" s="1071">
        <v>1660</v>
      </c>
      <c r="AJ22" s="1071"/>
      <c r="AK22" s="1071"/>
      <c r="AL22" s="1071"/>
      <c r="AM22" s="1071"/>
      <c r="AN22" s="1149" t="s">
        <v>559</v>
      </c>
      <c r="AO22" s="1072"/>
      <c r="AP22" s="1072"/>
      <c r="AQ22" s="1072"/>
      <c r="AR22" s="1107" t="s">
        <v>424</v>
      </c>
      <c r="AS22" s="1107"/>
      <c r="AT22" s="1107"/>
      <c r="AU22" s="1107"/>
      <c r="AV22" s="1100" t="s">
        <v>456</v>
      </c>
      <c r="AW22" s="1075"/>
      <c r="AX22" s="1075"/>
      <c r="AY22" s="1075"/>
      <c r="AZ22" s="1075"/>
      <c r="BA22" s="1075"/>
      <c r="BB22" s="1075"/>
      <c r="BC22" s="1075"/>
      <c r="BD22" s="1075"/>
      <c r="BE22" s="1075"/>
      <c r="BF22" s="1075"/>
      <c r="BG22" s="1075"/>
      <c r="BH22" s="1075"/>
      <c r="BI22" s="1077" t="s">
        <v>491</v>
      </c>
      <c r="BJ22" s="1075"/>
      <c r="BK22" s="1078"/>
      <c r="BL22" s="1075"/>
      <c r="BM22" s="1075"/>
      <c r="BN22" s="1075"/>
      <c r="BO22" s="1075"/>
      <c r="BP22" s="1075"/>
      <c r="BQ22" s="1075"/>
      <c r="BR22" s="1075"/>
      <c r="BS22" s="1075"/>
      <c r="BT22" s="1075"/>
      <c r="BU22" s="1075"/>
      <c r="BV22" s="1075"/>
      <c r="BW22" s="1075"/>
      <c r="BX22" s="1080"/>
      <c r="BY22" s="1075"/>
      <c r="BZ22" s="1089"/>
      <c r="CA22" s="1082"/>
      <c r="CB22" s="1075"/>
      <c r="CC22" s="1075"/>
      <c r="CD22" s="1075"/>
      <c r="CE22" s="1075"/>
      <c r="CF22" s="1075"/>
      <c r="CG22" s="1075"/>
      <c r="CH22" s="1075"/>
      <c r="CI22" s="1075"/>
      <c r="CJ22" s="1075"/>
      <c r="CK22" s="1075"/>
      <c r="CL22" s="1075"/>
      <c r="CM22" s="1075"/>
      <c r="CN22" s="1075"/>
      <c r="CO22" s="1075"/>
      <c r="CP22" s="1075"/>
    </row>
    <row r="23" spans="1:94" s="926" customFormat="1" ht="58.5" customHeight="1" x14ac:dyDescent="0.55000000000000004">
      <c r="A23" s="1069"/>
      <c r="B23" s="1069"/>
      <c r="C23" s="1109" t="s">
        <v>260</v>
      </c>
      <c r="D23" s="1070" t="s">
        <v>262</v>
      </c>
      <c r="E23" s="1094">
        <v>255500</v>
      </c>
      <c r="F23" s="1094">
        <v>0</v>
      </c>
      <c r="G23" s="1094">
        <f>E23+F23</f>
        <v>255500</v>
      </c>
      <c r="H23" s="1094">
        <v>255500</v>
      </c>
      <c r="I23" s="1094">
        <v>0</v>
      </c>
      <c r="J23" s="1094">
        <f>H23+I23</f>
        <v>255500</v>
      </c>
      <c r="K23" s="1249">
        <v>11</v>
      </c>
      <c r="L23" s="1250">
        <v>1</v>
      </c>
      <c r="M23" s="1250"/>
      <c r="N23" s="1250"/>
      <c r="O23" s="1250">
        <v>2</v>
      </c>
      <c r="P23" s="1250"/>
      <c r="Q23" s="1251" t="s">
        <v>185</v>
      </c>
      <c r="R23" s="1251"/>
      <c r="S23" s="1186">
        <v>255500</v>
      </c>
      <c r="T23" s="1186">
        <v>0</v>
      </c>
      <c r="U23" s="1186">
        <f t="shared" si="9"/>
        <v>255500</v>
      </c>
      <c r="V23" s="1071">
        <v>0</v>
      </c>
      <c r="W23" s="1071">
        <v>0</v>
      </c>
      <c r="X23" s="1071"/>
      <c r="Y23" s="1071">
        <v>255500</v>
      </c>
      <c r="Z23" s="1071"/>
      <c r="AA23" s="1071"/>
      <c r="AB23" s="1071">
        <f>Y23</f>
        <v>255500</v>
      </c>
      <c r="AC23" s="1071">
        <v>0</v>
      </c>
      <c r="AD23" s="1071">
        <f>J23-Y23</f>
        <v>0</v>
      </c>
      <c r="AE23" s="1071"/>
      <c r="AF23" s="1071">
        <v>0</v>
      </c>
      <c r="AG23" s="1071">
        <f>J23-AB23</f>
        <v>0</v>
      </c>
      <c r="AH23" s="1071"/>
      <c r="AI23" s="1071"/>
      <c r="AJ23" s="1071"/>
      <c r="AK23" s="1071"/>
      <c r="AL23" s="1071"/>
      <c r="AM23" s="1071"/>
      <c r="AN23" s="1140" t="s">
        <v>498</v>
      </c>
      <c r="AO23" s="1090" t="s">
        <v>393</v>
      </c>
      <c r="AP23" s="1090">
        <f>7200+4200+6000+55000+41800+22000+39600+21600</f>
        <v>197400</v>
      </c>
      <c r="AQ23" s="1090"/>
      <c r="AR23" s="1108" t="s">
        <v>428</v>
      </c>
      <c r="AS23" s="1108"/>
      <c r="AT23" s="1108"/>
      <c r="AU23" s="1108"/>
      <c r="AV23" s="1108"/>
      <c r="AW23" s="1075"/>
      <c r="AX23" s="1075"/>
      <c r="AY23" s="1075"/>
      <c r="AZ23" s="1075"/>
      <c r="BA23" s="1075"/>
      <c r="BB23" s="1075"/>
      <c r="BC23" s="1075"/>
      <c r="BD23" s="1075"/>
      <c r="BE23" s="1075"/>
      <c r="BF23" s="1075"/>
      <c r="BG23" s="1075"/>
      <c r="BH23" s="1075"/>
      <c r="BI23" s="1075"/>
      <c r="BJ23" s="1075"/>
      <c r="BK23" s="1078"/>
      <c r="BL23" s="1075"/>
      <c r="BM23" s="1075"/>
      <c r="BN23" s="1075"/>
      <c r="BO23" s="1075"/>
      <c r="BP23" s="1075"/>
      <c r="BQ23" s="1075"/>
      <c r="BR23" s="1075"/>
      <c r="BS23" s="1075"/>
      <c r="BT23" s="1075"/>
      <c r="BU23" s="1075"/>
      <c r="BV23" s="1075"/>
      <c r="BW23" s="1075"/>
      <c r="BX23" s="1080"/>
      <c r="BY23" s="1075"/>
      <c r="BZ23" s="1089"/>
      <c r="CA23" s="1082"/>
      <c r="CB23" s="1075"/>
      <c r="CC23" s="1075"/>
      <c r="CD23" s="1075"/>
      <c r="CE23" s="1075"/>
      <c r="CF23" s="1075"/>
      <c r="CG23" s="1075"/>
      <c r="CH23" s="1075"/>
      <c r="CI23" s="1075"/>
      <c r="CJ23" s="1075"/>
      <c r="CK23" s="1075"/>
      <c r="CL23" s="1075"/>
      <c r="CM23" s="1075"/>
      <c r="CN23" s="1075"/>
      <c r="CO23" s="1075"/>
      <c r="CP23" s="1075"/>
    </row>
    <row r="24" spans="1:94" s="926" customFormat="1" ht="71.25" customHeight="1" x14ac:dyDescent="0.55000000000000004">
      <c r="A24" s="1069"/>
      <c r="B24" s="1069"/>
      <c r="C24" s="1109" t="s">
        <v>485</v>
      </c>
      <c r="D24" s="1070" t="s">
        <v>253</v>
      </c>
      <c r="E24" s="1094">
        <v>396000</v>
      </c>
      <c r="F24" s="1094">
        <v>0</v>
      </c>
      <c r="G24" s="1094">
        <f>E24+F24</f>
        <v>396000</v>
      </c>
      <c r="H24" s="1094">
        <v>396000</v>
      </c>
      <c r="I24" s="1094">
        <v>0</v>
      </c>
      <c r="J24" s="1094">
        <f>H24+I24</f>
        <v>396000</v>
      </c>
      <c r="K24" s="1249">
        <v>10</v>
      </c>
      <c r="L24" s="1250">
        <v>2</v>
      </c>
      <c r="M24" s="1250"/>
      <c r="N24" s="1250"/>
      <c r="O24" s="1250">
        <v>2</v>
      </c>
      <c r="P24" s="1250"/>
      <c r="Q24" s="1251" t="s">
        <v>185</v>
      </c>
      <c r="R24" s="1251"/>
      <c r="S24" s="1186">
        <v>381800</v>
      </c>
      <c r="T24" s="1186">
        <v>0</v>
      </c>
      <c r="U24" s="1186">
        <f t="shared" si="9"/>
        <v>381800</v>
      </c>
      <c r="V24" s="1071">
        <v>0</v>
      </c>
      <c r="W24" s="1071">
        <v>0</v>
      </c>
      <c r="X24" s="1071"/>
      <c r="Y24" s="1071">
        <v>381800</v>
      </c>
      <c r="Z24" s="1071"/>
      <c r="AA24" s="1071"/>
      <c r="AB24" s="1071">
        <v>381800</v>
      </c>
      <c r="AC24" s="1071">
        <v>0</v>
      </c>
      <c r="AD24" s="1071">
        <f>J24-Y24-AI24</f>
        <v>0</v>
      </c>
      <c r="AE24" s="1071"/>
      <c r="AF24" s="1071">
        <v>0</v>
      </c>
      <c r="AG24" s="1071">
        <f>J24-AB24</f>
        <v>14200</v>
      </c>
      <c r="AH24" s="1071"/>
      <c r="AI24" s="1071">
        <v>14200</v>
      </c>
      <c r="AJ24" s="1071"/>
      <c r="AK24" s="1071"/>
      <c r="AL24" s="1071"/>
      <c r="AM24" s="1071"/>
      <c r="AN24" s="1253" t="s">
        <v>598</v>
      </c>
      <c r="AO24" s="1090"/>
      <c r="AP24" s="1090"/>
      <c r="AQ24" s="1090"/>
      <c r="AR24" s="1075"/>
      <c r="AS24" s="1110"/>
      <c r="AT24" s="1110"/>
      <c r="AU24" s="1110"/>
      <c r="AV24" s="1110"/>
      <c r="AW24" s="1075"/>
      <c r="AX24" s="1075"/>
      <c r="AY24" s="1075"/>
      <c r="AZ24" s="1075"/>
      <c r="BA24" s="1075"/>
      <c r="BB24" s="1075"/>
      <c r="BC24" s="1075"/>
      <c r="BD24" s="1075"/>
      <c r="BE24" s="1075"/>
      <c r="BF24" s="1075"/>
      <c r="BG24" s="1075"/>
      <c r="BH24" s="1075"/>
      <c r="BI24" s="1075"/>
      <c r="BJ24" s="1075"/>
      <c r="BK24" s="1078"/>
      <c r="BL24" s="1075"/>
      <c r="BM24" s="1075"/>
      <c r="BN24" s="1075"/>
      <c r="BO24" s="1075"/>
      <c r="BP24" s="1075"/>
      <c r="BQ24" s="1075"/>
      <c r="BR24" s="1075"/>
      <c r="BS24" s="1075"/>
      <c r="BT24" s="1075"/>
      <c r="BU24" s="1075"/>
      <c r="BV24" s="1075"/>
      <c r="BW24" s="1075"/>
      <c r="BX24" s="1080"/>
      <c r="BY24" s="1075"/>
      <c r="BZ24" s="1111" t="s">
        <v>547</v>
      </c>
      <c r="CA24" s="1082"/>
      <c r="CB24" s="1075"/>
      <c r="CC24" s="1075"/>
      <c r="CD24" s="1075"/>
      <c r="CE24" s="1075"/>
      <c r="CF24" s="1075"/>
      <c r="CG24" s="1075"/>
      <c r="CH24" s="1075"/>
      <c r="CI24" s="1075"/>
      <c r="CJ24" s="1075"/>
      <c r="CK24" s="1075"/>
      <c r="CL24" s="1075"/>
      <c r="CM24" s="1075"/>
      <c r="CN24" s="1075"/>
      <c r="CO24" s="1075"/>
      <c r="CP24" s="1075"/>
    </row>
    <row r="25" spans="1:94" s="926" customFormat="1" ht="138.75" customHeight="1" x14ac:dyDescent="0.55000000000000004">
      <c r="A25" s="1254"/>
      <c r="B25" s="1254"/>
      <c r="C25" s="1261" t="s">
        <v>416</v>
      </c>
      <c r="D25" s="1112" t="s">
        <v>317</v>
      </c>
      <c r="E25" s="1094">
        <v>422900</v>
      </c>
      <c r="F25" s="1094">
        <v>495000</v>
      </c>
      <c r="G25" s="1094">
        <f>E25+F25</f>
        <v>917900</v>
      </c>
      <c r="H25" s="1094">
        <v>422900</v>
      </c>
      <c r="I25" s="1094">
        <v>495000</v>
      </c>
      <c r="J25" s="1094">
        <f>H25+I25</f>
        <v>917900</v>
      </c>
      <c r="K25" s="1257">
        <v>6</v>
      </c>
      <c r="L25" s="1258">
        <v>9</v>
      </c>
      <c r="M25" s="1258">
        <v>12</v>
      </c>
      <c r="N25" s="1258">
        <v>2</v>
      </c>
      <c r="O25" s="1258">
        <v>2</v>
      </c>
      <c r="P25" s="1258">
        <v>2</v>
      </c>
      <c r="Q25" s="1259" t="s">
        <v>185</v>
      </c>
      <c r="R25" s="1259"/>
      <c r="S25" s="1260">
        <f>H25</f>
        <v>422900</v>
      </c>
      <c r="T25" s="1260">
        <v>495000</v>
      </c>
      <c r="U25" s="1186">
        <f t="shared" si="9"/>
        <v>917900</v>
      </c>
      <c r="V25" s="1113">
        <v>0</v>
      </c>
      <c r="W25" s="1113">
        <v>0</v>
      </c>
      <c r="X25" s="1113"/>
      <c r="Y25" s="1113">
        <v>917900</v>
      </c>
      <c r="Z25" s="1113"/>
      <c r="AA25" s="1113"/>
      <c r="AB25" s="1071">
        <v>422900</v>
      </c>
      <c r="AC25" s="1113">
        <v>495000</v>
      </c>
      <c r="AD25" s="1113">
        <v>0</v>
      </c>
      <c r="AE25" s="1071"/>
      <c r="AF25" s="1113">
        <v>0</v>
      </c>
      <c r="AG25" s="1113">
        <v>0</v>
      </c>
      <c r="AH25" s="1113"/>
      <c r="AI25" s="1113">
        <v>0</v>
      </c>
      <c r="AJ25" s="1113"/>
      <c r="AK25" s="1113"/>
      <c r="AL25" s="1113"/>
      <c r="AM25" s="1113"/>
      <c r="AN25" s="1262" t="s">
        <v>792</v>
      </c>
      <c r="AO25" s="1072"/>
      <c r="AP25" s="1072" t="s">
        <v>399</v>
      </c>
      <c r="AQ25" s="1072"/>
      <c r="AR25" s="1075" t="s">
        <v>398</v>
      </c>
      <c r="AS25" s="1110" t="s">
        <v>431</v>
      </c>
      <c r="AT25" s="1110"/>
      <c r="AU25" s="1110"/>
      <c r="AV25" s="1110"/>
      <c r="AW25" s="1075"/>
      <c r="AX25" s="1075"/>
      <c r="AY25" s="1075"/>
      <c r="AZ25" s="1075"/>
      <c r="BA25" s="1075"/>
      <c r="BB25" s="1075"/>
      <c r="BC25" s="1075"/>
      <c r="BD25" s="1075"/>
      <c r="BE25" s="1075"/>
      <c r="BF25" s="1075"/>
      <c r="BG25" s="1075"/>
      <c r="BH25" s="1075"/>
      <c r="BI25" s="1075"/>
      <c r="BJ25" s="1075"/>
      <c r="BK25" s="1078"/>
      <c r="BL25" s="1075"/>
      <c r="BM25" s="1075"/>
      <c r="BN25" s="1075"/>
      <c r="BO25" s="1075"/>
      <c r="BP25" s="1075"/>
      <c r="BQ25" s="1075"/>
      <c r="BR25" s="1075"/>
      <c r="BS25" s="1075"/>
      <c r="BT25" s="1075"/>
      <c r="BU25" s="1075"/>
      <c r="BV25" s="1075"/>
      <c r="BW25" s="1114">
        <f>422900-54000</f>
        <v>368900</v>
      </c>
      <c r="BX25" s="1080"/>
      <c r="BY25" s="1075"/>
      <c r="BZ25" s="1089"/>
      <c r="CA25" s="1082"/>
      <c r="CB25" s="1075"/>
      <c r="CC25" s="1075"/>
      <c r="CD25" s="1075"/>
      <c r="CE25" s="1075"/>
      <c r="CF25" s="1075"/>
      <c r="CG25" s="1075"/>
      <c r="CH25" s="1075"/>
      <c r="CI25" s="1075"/>
      <c r="CJ25" s="1075"/>
      <c r="CK25" s="1075"/>
      <c r="CL25" s="1075"/>
      <c r="CM25" s="1075"/>
      <c r="CN25" s="1075"/>
      <c r="CO25" s="1075"/>
      <c r="CP25" s="1075"/>
    </row>
    <row r="26" spans="1:94" s="603" customFormat="1" ht="70.5" customHeight="1" x14ac:dyDescent="0.6">
      <c r="A26" s="1083">
        <v>6</v>
      </c>
      <c r="B26" s="1083"/>
      <c r="C26" s="1084" t="s">
        <v>263</v>
      </c>
      <c r="D26" s="1085" t="s">
        <v>248</v>
      </c>
      <c r="E26" s="1147">
        <f t="shared" ref="E26:J26" si="10">SUM(E27:E28)</f>
        <v>740000</v>
      </c>
      <c r="F26" s="1147">
        <f t="shared" si="10"/>
        <v>0</v>
      </c>
      <c r="G26" s="1147">
        <f t="shared" si="10"/>
        <v>740000</v>
      </c>
      <c r="H26" s="1147">
        <f t="shared" si="10"/>
        <v>740000</v>
      </c>
      <c r="I26" s="1147">
        <f t="shared" si="10"/>
        <v>0</v>
      </c>
      <c r="J26" s="1147">
        <f t="shared" si="10"/>
        <v>740000</v>
      </c>
      <c r="K26" s="1177"/>
      <c r="L26" s="1178"/>
      <c r="M26" s="1178"/>
      <c r="N26" s="1178"/>
      <c r="O26" s="1178"/>
      <c r="P26" s="1178"/>
      <c r="Q26" s="1179"/>
      <c r="R26" s="1179"/>
      <c r="S26" s="1180">
        <f>S27+S28</f>
        <v>740000</v>
      </c>
      <c r="T26" s="1180">
        <f>T27+T28</f>
        <v>0</v>
      </c>
      <c r="U26" s="1180">
        <f t="shared" si="9"/>
        <v>740000</v>
      </c>
      <c r="V26" s="1086">
        <f>SUM(V27:V28)</f>
        <v>0</v>
      </c>
      <c r="W26" s="1086">
        <f>SUM(W27:W28)</f>
        <v>0</v>
      </c>
      <c r="X26" s="1086"/>
      <c r="Y26" s="1086">
        <f>SUM(Y27:Y28)</f>
        <v>740000</v>
      </c>
      <c r="Z26" s="1086"/>
      <c r="AA26" s="1086"/>
      <c r="AB26" s="1086">
        <f>AB27+AB28</f>
        <v>740000</v>
      </c>
      <c r="AC26" s="1086">
        <f>AC27+AC28</f>
        <v>0</v>
      </c>
      <c r="AD26" s="1086">
        <f>SUM(AD27:AD28)</f>
        <v>0</v>
      </c>
      <c r="AE26" s="1086"/>
      <c r="AF26" s="1086">
        <f>SUM(AF27:AF28)</f>
        <v>0</v>
      </c>
      <c r="AG26" s="1086"/>
      <c r="AH26" s="1086"/>
      <c r="AI26" s="1086">
        <f>AI27+AI28</f>
        <v>0</v>
      </c>
      <c r="AJ26" s="1086"/>
      <c r="AK26" s="1086"/>
      <c r="AL26" s="1086"/>
      <c r="AM26" s="1086"/>
      <c r="AN26" s="1140" t="s">
        <v>498</v>
      </c>
      <c r="AO26" s="1088"/>
      <c r="AP26" s="1088"/>
      <c r="AQ26" s="1093">
        <f>Y27-AQ27</f>
        <v>639600</v>
      </c>
      <c r="AR26" s="1092"/>
      <c r="AS26" s="1092"/>
      <c r="AT26" s="1092"/>
      <c r="AU26" s="1092"/>
      <c r="AV26" s="1092"/>
      <c r="AW26" s="1092"/>
      <c r="AX26" s="1092"/>
      <c r="AY26" s="1092"/>
      <c r="AZ26" s="1092"/>
      <c r="BA26" s="1092"/>
      <c r="BB26" s="1092"/>
      <c r="BC26" s="1092"/>
      <c r="BD26" s="1092"/>
      <c r="BE26" s="1092"/>
      <c r="BF26" s="1092"/>
      <c r="BG26" s="1092"/>
      <c r="BH26" s="1092"/>
      <c r="BI26" s="1092"/>
      <c r="BJ26" s="1092"/>
      <c r="BK26" s="1078"/>
      <c r="BL26" s="1092"/>
      <c r="BM26" s="1092"/>
      <c r="BN26" s="1092"/>
      <c r="BO26" s="1092"/>
      <c r="BP26" s="1092"/>
      <c r="BQ26" s="1092"/>
      <c r="BR26" s="1092"/>
      <c r="BS26" s="1092"/>
      <c r="BT26" s="1092"/>
      <c r="BU26" s="1092"/>
      <c r="BV26" s="1092"/>
      <c r="BW26" s="1092"/>
      <c r="BX26" s="1080"/>
      <c r="BY26" s="1092"/>
      <c r="BZ26" s="1089"/>
      <c r="CA26" s="1082"/>
      <c r="CB26" s="1092"/>
      <c r="CC26" s="1092"/>
      <c r="CD26" s="1092"/>
      <c r="CE26" s="1092"/>
      <c r="CF26" s="1092"/>
      <c r="CG26" s="1092"/>
      <c r="CH26" s="1092"/>
      <c r="CI26" s="1092"/>
      <c r="CJ26" s="1092"/>
      <c r="CK26" s="1092"/>
      <c r="CL26" s="1092"/>
      <c r="CM26" s="1092"/>
      <c r="CN26" s="1092"/>
      <c r="CO26" s="1092"/>
      <c r="CP26" s="1092"/>
    </row>
    <row r="27" spans="1:94" s="208" customFormat="1" ht="72" customHeight="1" x14ac:dyDescent="0.65">
      <c r="A27" s="1069"/>
      <c r="B27" s="1069"/>
      <c r="C27" s="1109" t="s">
        <v>430</v>
      </c>
      <c r="D27" s="1070" t="s">
        <v>248</v>
      </c>
      <c r="E27" s="1094">
        <v>639600</v>
      </c>
      <c r="F27" s="1094">
        <v>0</v>
      </c>
      <c r="G27" s="1094">
        <f>E27+F27</f>
        <v>639600</v>
      </c>
      <c r="H27" s="1094">
        <v>639600</v>
      </c>
      <c r="I27" s="1094">
        <v>0</v>
      </c>
      <c r="J27" s="1094">
        <f>H27+I27</f>
        <v>639600</v>
      </c>
      <c r="K27" s="1249">
        <v>12</v>
      </c>
      <c r="L27" s="1250">
        <v>1</v>
      </c>
      <c r="M27" s="1250"/>
      <c r="N27" s="1250"/>
      <c r="O27" s="1250">
        <v>2</v>
      </c>
      <c r="P27" s="1250"/>
      <c r="Q27" s="1251" t="s">
        <v>185</v>
      </c>
      <c r="R27" s="1251"/>
      <c r="S27" s="1186">
        <v>639600</v>
      </c>
      <c r="T27" s="1186">
        <v>0</v>
      </c>
      <c r="U27" s="1186">
        <f t="shared" si="9"/>
        <v>639600</v>
      </c>
      <c r="V27" s="1071">
        <v>0</v>
      </c>
      <c r="W27" s="1071">
        <v>0</v>
      </c>
      <c r="X27" s="1071"/>
      <c r="Y27" s="1071">
        <f>14400+3000+9000+21600+12600+16200+1800+72000+411000+78000</f>
        <v>639600</v>
      </c>
      <c r="Z27" s="1071"/>
      <c r="AA27" s="1071"/>
      <c r="AB27" s="1071">
        <f>Y27</f>
        <v>639600</v>
      </c>
      <c r="AC27" s="1071">
        <v>0</v>
      </c>
      <c r="AD27" s="1071">
        <f>J27-Y27</f>
        <v>0</v>
      </c>
      <c r="AE27" s="1071"/>
      <c r="AF27" s="1071">
        <v>0</v>
      </c>
      <c r="AG27" s="1071"/>
      <c r="AH27" s="1071"/>
      <c r="AI27" s="1071"/>
      <c r="AJ27" s="1071"/>
      <c r="AK27" s="1071"/>
      <c r="AL27" s="1071"/>
      <c r="AM27" s="1071"/>
      <c r="AN27" s="1149" t="s">
        <v>459</v>
      </c>
      <c r="AO27" s="1090"/>
      <c r="AP27" s="1090" t="s">
        <v>412</v>
      </c>
      <c r="AQ27" s="1090"/>
      <c r="AR27" s="1115" t="s">
        <v>425</v>
      </c>
      <c r="AS27" s="1116" t="s">
        <v>432</v>
      </c>
      <c r="AT27" s="1116"/>
      <c r="AU27" s="1116"/>
      <c r="AV27" s="1116"/>
      <c r="AW27" s="1099" t="s">
        <v>457</v>
      </c>
      <c r="AX27" s="1099"/>
      <c r="AY27" s="1099"/>
      <c r="AZ27" s="1099"/>
      <c r="BA27" s="1099"/>
      <c r="BB27" s="1099"/>
      <c r="BC27" s="1099"/>
      <c r="BD27" s="1099"/>
      <c r="BE27" s="1099"/>
      <c r="BF27" s="1099"/>
      <c r="BG27" s="1080"/>
      <c r="BH27" s="1080"/>
      <c r="BI27" s="1080"/>
      <c r="BJ27" s="1080"/>
      <c r="BK27" s="1089"/>
      <c r="BL27" s="1080"/>
      <c r="BM27" s="1080"/>
      <c r="BN27" s="1080"/>
      <c r="BO27" s="1080"/>
      <c r="BP27" s="1080"/>
      <c r="BQ27" s="1080"/>
      <c r="BR27" s="1080"/>
      <c r="BS27" s="1080"/>
      <c r="BT27" s="1080"/>
      <c r="BU27" s="1080"/>
      <c r="BV27" s="1080"/>
      <c r="BW27" s="1080"/>
      <c r="BX27" s="1080"/>
      <c r="BY27" s="1080"/>
      <c r="BZ27" s="1089"/>
      <c r="CA27" s="1082"/>
      <c r="CB27" s="1080"/>
      <c r="CC27" s="1080"/>
      <c r="CD27" s="1080"/>
      <c r="CE27" s="1080"/>
      <c r="CF27" s="1080"/>
      <c r="CG27" s="1080"/>
      <c r="CH27" s="1080"/>
      <c r="CI27" s="1080"/>
      <c r="CJ27" s="1080"/>
      <c r="CK27" s="1080"/>
      <c r="CL27" s="1080"/>
      <c r="CM27" s="1080"/>
      <c r="CN27" s="1080"/>
      <c r="CO27" s="1080"/>
      <c r="CP27" s="1080"/>
    </row>
    <row r="28" spans="1:94" s="208" customFormat="1" ht="61.5" customHeight="1" x14ac:dyDescent="0.65">
      <c r="A28" s="1263"/>
      <c r="B28" s="1263"/>
      <c r="C28" s="1264" t="s">
        <v>264</v>
      </c>
      <c r="D28" s="1204" t="s">
        <v>248</v>
      </c>
      <c r="E28" s="1265">
        <v>100400</v>
      </c>
      <c r="F28" s="1094">
        <v>0</v>
      </c>
      <c r="G28" s="1094">
        <f>E28+F28</f>
        <v>100400</v>
      </c>
      <c r="H28" s="1094">
        <v>100400</v>
      </c>
      <c r="I28" s="1094">
        <v>0</v>
      </c>
      <c r="J28" s="1094">
        <f>H28+I28</f>
        <v>100400</v>
      </c>
      <c r="K28" s="1249">
        <v>12</v>
      </c>
      <c r="L28" s="1250">
        <v>1</v>
      </c>
      <c r="M28" s="1250"/>
      <c r="N28" s="1250"/>
      <c r="O28" s="1250">
        <v>2</v>
      </c>
      <c r="P28" s="1250"/>
      <c r="Q28" s="1251" t="s">
        <v>185</v>
      </c>
      <c r="R28" s="1251"/>
      <c r="S28" s="1186">
        <v>100400</v>
      </c>
      <c r="T28" s="1186">
        <v>0</v>
      </c>
      <c r="U28" s="1186">
        <f t="shared" si="9"/>
        <v>100400</v>
      </c>
      <c r="V28" s="1071">
        <v>0</v>
      </c>
      <c r="W28" s="1071">
        <v>0</v>
      </c>
      <c r="X28" s="1071"/>
      <c r="Y28" s="1071">
        <f>9600+1000+28000+14000+9800+1400+22400+4200+10000</f>
        <v>100400</v>
      </c>
      <c r="Z28" s="1071"/>
      <c r="AA28" s="1071"/>
      <c r="AB28" s="1071">
        <f>Y28</f>
        <v>100400</v>
      </c>
      <c r="AC28" s="1071">
        <v>0</v>
      </c>
      <c r="AD28" s="1071">
        <f>J28-Y28</f>
        <v>0</v>
      </c>
      <c r="AE28" s="1071"/>
      <c r="AF28" s="1071">
        <v>0</v>
      </c>
      <c r="AG28" s="1071"/>
      <c r="AH28" s="1071"/>
      <c r="AI28" s="1071"/>
      <c r="AJ28" s="1071"/>
      <c r="AK28" s="1071"/>
      <c r="AL28" s="1071"/>
      <c r="AM28" s="1071"/>
      <c r="AN28" s="1149" t="s">
        <v>459</v>
      </c>
      <c r="AO28" s="1090"/>
      <c r="AP28" s="1090" t="s">
        <v>413</v>
      </c>
      <c r="AQ28" s="1090"/>
      <c r="AR28" s="1080"/>
      <c r="AS28" s="1080"/>
      <c r="AT28" s="1080"/>
      <c r="AU28" s="1080"/>
      <c r="AV28" s="1080"/>
      <c r="AW28" s="1080"/>
      <c r="AX28" s="1080" t="s">
        <v>467</v>
      </c>
      <c r="AY28" s="1080"/>
      <c r="AZ28" s="1080"/>
      <c r="BA28" s="1080"/>
      <c r="BB28" s="1080"/>
      <c r="BC28" s="1080"/>
      <c r="BD28" s="1080"/>
      <c r="BE28" s="1080"/>
      <c r="BF28" s="1080"/>
      <c r="BG28" s="1080"/>
      <c r="BH28" s="1080"/>
      <c r="BI28" s="1080"/>
      <c r="BJ28" s="1080"/>
      <c r="BK28" s="1089"/>
      <c r="BL28" s="1080"/>
      <c r="BM28" s="1080"/>
      <c r="BN28" s="1080"/>
      <c r="BO28" s="1080"/>
      <c r="BP28" s="1080"/>
      <c r="BQ28" s="1080"/>
      <c r="BR28" s="1080"/>
      <c r="BS28" s="1080"/>
      <c r="BT28" s="1080"/>
      <c r="BU28" s="1080"/>
      <c r="BV28" s="1080"/>
      <c r="BW28" s="1080"/>
      <c r="BX28" s="1080"/>
      <c r="BY28" s="1080"/>
      <c r="BZ28" s="1089"/>
      <c r="CA28" s="1082"/>
      <c r="CB28" s="1080"/>
      <c r="CC28" s="1080"/>
      <c r="CD28" s="1080"/>
      <c r="CE28" s="1080"/>
      <c r="CF28" s="1080"/>
      <c r="CG28" s="1080"/>
      <c r="CH28" s="1080"/>
      <c r="CI28" s="1080"/>
      <c r="CJ28" s="1080"/>
      <c r="CK28" s="1080"/>
      <c r="CL28" s="1080"/>
      <c r="CM28" s="1080"/>
      <c r="CN28" s="1080"/>
      <c r="CO28" s="1080"/>
      <c r="CP28" s="1080"/>
    </row>
    <row r="29" spans="1:94" s="603" customFormat="1" ht="63" x14ac:dyDescent="0.6">
      <c r="A29" s="1117">
        <v>7</v>
      </c>
      <c r="B29" s="1117"/>
      <c r="C29" s="1118" t="s">
        <v>414</v>
      </c>
      <c r="D29" s="1118" t="s">
        <v>265</v>
      </c>
      <c r="E29" s="1147">
        <v>0</v>
      </c>
      <c r="F29" s="1147">
        <f>F30</f>
        <v>9994000</v>
      </c>
      <c r="G29" s="1147">
        <f>G30</f>
        <v>9994000</v>
      </c>
      <c r="H29" s="1147">
        <v>0</v>
      </c>
      <c r="I29" s="1147">
        <f>I30</f>
        <v>9994000</v>
      </c>
      <c r="J29" s="1147">
        <f>J30</f>
        <v>9994000</v>
      </c>
      <c r="K29" s="1177"/>
      <c r="L29" s="1178"/>
      <c r="M29" s="1178"/>
      <c r="N29" s="1178"/>
      <c r="O29" s="1178"/>
      <c r="P29" s="1178"/>
      <c r="Q29" s="1179"/>
      <c r="R29" s="1179"/>
      <c r="S29" s="1180"/>
      <c r="T29" s="1180">
        <v>9988000</v>
      </c>
      <c r="U29" s="1180">
        <f t="shared" si="9"/>
        <v>9988000</v>
      </c>
      <c r="V29" s="1086">
        <v>0</v>
      </c>
      <c r="W29" s="1086">
        <v>6000</v>
      </c>
      <c r="X29" s="1086"/>
      <c r="Y29" s="1086">
        <v>9988000</v>
      </c>
      <c r="Z29" s="1086"/>
      <c r="AA29" s="1086"/>
      <c r="AB29" s="1086">
        <v>0</v>
      </c>
      <c r="AC29" s="1086">
        <f>Y29</f>
        <v>9988000</v>
      </c>
      <c r="AD29" s="1086">
        <v>0</v>
      </c>
      <c r="AE29" s="1086"/>
      <c r="AF29" s="1086">
        <v>0</v>
      </c>
      <c r="AG29" s="1086">
        <f>AG30</f>
        <v>6000</v>
      </c>
      <c r="AH29" s="1086"/>
      <c r="AI29" s="1086">
        <f>AI30</f>
        <v>6000</v>
      </c>
      <c r="AJ29" s="1086"/>
      <c r="AK29" s="1086"/>
      <c r="AL29" s="1086"/>
      <c r="AM29" s="1086"/>
      <c r="AN29" s="1087"/>
      <c r="AO29" s="1088"/>
      <c r="AP29" s="1088"/>
      <c r="AQ29" s="1088"/>
      <c r="AR29" s="1092"/>
      <c r="AS29" s="1092"/>
      <c r="AT29" s="1092"/>
      <c r="AU29" s="1092"/>
      <c r="AV29" s="1092"/>
      <c r="AW29" s="1092"/>
      <c r="AX29" s="1092"/>
      <c r="AY29" s="1092"/>
      <c r="AZ29" s="1092"/>
      <c r="BA29" s="1092"/>
      <c r="BB29" s="1092"/>
      <c r="BC29" s="1092"/>
      <c r="BD29" s="1092"/>
      <c r="BE29" s="1092"/>
      <c r="BF29" s="1092"/>
      <c r="BG29" s="1092"/>
      <c r="BH29" s="1092"/>
      <c r="BI29" s="1092"/>
      <c r="BJ29" s="1092"/>
      <c r="BK29" s="1078"/>
      <c r="BL29" s="1092"/>
      <c r="BM29" s="1092"/>
      <c r="BN29" s="1092"/>
      <c r="BO29" s="1092"/>
      <c r="BP29" s="1092"/>
      <c r="BQ29" s="1092"/>
      <c r="BR29" s="1092"/>
      <c r="BS29" s="1092"/>
      <c r="BT29" s="1092"/>
      <c r="BU29" s="1092"/>
      <c r="BV29" s="1092"/>
      <c r="BW29" s="1092"/>
      <c r="BX29" s="1080"/>
      <c r="BY29" s="1092"/>
      <c r="BZ29" s="1089"/>
      <c r="CA29" s="1082"/>
      <c r="CB29" s="1092"/>
      <c r="CC29" s="1092"/>
      <c r="CD29" s="1092"/>
      <c r="CE29" s="1092"/>
      <c r="CF29" s="1092"/>
      <c r="CG29" s="1092"/>
      <c r="CH29" s="1092"/>
      <c r="CI29" s="1092"/>
      <c r="CJ29" s="1092"/>
      <c r="CK29" s="1092"/>
      <c r="CL29" s="1092"/>
      <c r="CM29" s="1092"/>
      <c r="CN29" s="1092"/>
      <c r="CO29" s="1092"/>
      <c r="CP29" s="1092"/>
    </row>
    <row r="30" spans="1:94" s="209" customFormat="1" ht="144" customHeight="1" x14ac:dyDescent="0.6">
      <c r="A30" s="1119"/>
      <c r="B30" s="1119"/>
      <c r="C30" s="1266" t="s">
        <v>741</v>
      </c>
      <c r="D30" s="1266" t="s">
        <v>265</v>
      </c>
      <c r="E30" s="1094">
        <v>0</v>
      </c>
      <c r="F30" s="1094">
        <v>9994000</v>
      </c>
      <c r="G30" s="1094">
        <f>E30+F30</f>
        <v>9994000</v>
      </c>
      <c r="H30" s="1094">
        <v>0</v>
      </c>
      <c r="I30" s="1094">
        <v>9994000</v>
      </c>
      <c r="J30" s="1094">
        <f>H30+I30</f>
        <v>9994000</v>
      </c>
      <c r="K30" s="1249"/>
      <c r="L30" s="1250"/>
      <c r="M30" s="1250">
        <v>12</v>
      </c>
      <c r="N30" s="1250">
        <v>3</v>
      </c>
      <c r="O30" s="1250"/>
      <c r="P30" s="1250">
        <v>8</v>
      </c>
      <c r="Q30" s="1251" t="s">
        <v>185</v>
      </c>
      <c r="R30" s="1251"/>
      <c r="S30" s="1186"/>
      <c r="T30" s="1186">
        <v>9988000</v>
      </c>
      <c r="U30" s="1186">
        <f t="shared" si="9"/>
        <v>9988000</v>
      </c>
      <c r="V30" s="1071">
        <v>0</v>
      </c>
      <c r="W30" s="1071">
        <v>6000</v>
      </c>
      <c r="X30" s="1071"/>
      <c r="Y30" s="1071">
        <v>9988000</v>
      </c>
      <c r="Z30" s="1071"/>
      <c r="AA30" s="1071"/>
      <c r="AB30" s="1071">
        <v>0</v>
      </c>
      <c r="AC30" s="1071">
        <f>Y30</f>
        <v>9988000</v>
      </c>
      <c r="AD30" s="1071">
        <v>0</v>
      </c>
      <c r="AE30" s="1071"/>
      <c r="AF30" s="1071">
        <v>0</v>
      </c>
      <c r="AG30" s="1071">
        <f>J30-AC30</f>
        <v>6000</v>
      </c>
      <c r="AH30" s="1071"/>
      <c r="AI30" s="1071">
        <v>6000</v>
      </c>
      <c r="AJ30" s="1071"/>
      <c r="AK30" s="1071"/>
      <c r="AL30" s="1071"/>
      <c r="AM30" s="1071"/>
      <c r="AN30" s="1149" t="s">
        <v>793</v>
      </c>
      <c r="AO30" s="1072"/>
      <c r="AP30" s="1072"/>
      <c r="AQ30" s="1072"/>
      <c r="AR30" s="1092"/>
      <c r="AS30" s="1092"/>
      <c r="AT30" s="1092"/>
      <c r="AU30" s="1092"/>
      <c r="AV30" s="1092"/>
      <c r="AW30" s="1092"/>
      <c r="AX30" s="1092"/>
      <c r="AY30" s="1092"/>
      <c r="AZ30" s="1092"/>
      <c r="BA30" s="1092"/>
      <c r="BB30" s="1092"/>
      <c r="BC30" s="1092"/>
      <c r="BD30" s="1092"/>
      <c r="BE30" s="1092"/>
      <c r="BF30" s="1092"/>
      <c r="BG30" s="1092"/>
      <c r="BH30" s="1092"/>
      <c r="BI30" s="1092"/>
      <c r="BJ30" s="1092"/>
      <c r="BK30" s="1078"/>
      <c r="BL30" s="1092"/>
      <c r="BM30" s="1092"/>
      <c r="BN30" s="1092"/>
      <c r="BO30" s="1092"/>
      <c r="BP30" s="1092"/>
      <c r="BQ30" s="1092"/>
      <c r="BR30" s="1092"/>
      <c r="BS30" s="1092"/>
      <c r="BT30" s="1092"/>
      <c r="BU30" s="1092"/>
      <c r="BV30" s="1092"/>
      <c r="BW30" s="1092"/>
      <c r="BX30" s="1080"/>
      <c r="BY30" s="1092"/>
      <c r="BZ30" s="1089"/>
      <c r="CA30" s="1082"/>
      <c r="CB30" s="1092"/>
      <c r="CC30" s="1092"/>
      <c r="CD30" s="1092"/>
      <c r="CE30" s="1092"/>
      <c r="CF30" s="1092"/>
      <c r="CG30" s="1092"/>
      <c r="CH30" s="1092"/>
      <c r="CI30" s="1092"/>
      <c r="CJ30" s="1092"/>
      <c r="CK30" s="1092"/>
      <c r="CL30" s="1092"/>
      <c r="CM30" s="1092"/>
      <c r="CN30" s="1092"/>
      <c r="CO30" s="1092"/>
      <c r="CP30" s="1092"/>
    </row>
    <row r="31" spans="1:94" s="929" customFormat="1" ht="117.75" customHeight="1" x14ac:dyDescent="0.6">
      <c r="A31" s="1120"/>
      <c r="B31" s="1120"/>
      <c r="C31" s="1158" t="s">
        <v>794</v>
      </c>
      <c r="D31" s="1156" t="s">
        <v>372</v>
      </c>
      <c r="E31" s="1267"/>
      <c r="F31" s="1094"/>
      <c r="G31" s="1094"/>
      <c r="H31" s="1094">
        <v>71200</v>
      </c>
      <c r="I31" s="1094">
        <v>0</v>
      </c>
      <c r="J31" s="1094">
        <f>H31</f>
        <v>71200</v>
      </c>
      <c r="K31" s="1268"/>
      <c r="L31" s="1269"/>
      <c r="M31" s="1269"/>
      <c r="N31" s="1269"/>
      <c r="O31" s="1269"/>
      <c r="P31" s="1269"/>
      <c r="Q31" s="1270"/>
      <c r="R31" s="1270"/>
      <c r="S31" s="1271">
        <v>71200</v>
      </c>
      <c r="T31" s="1271">
        <v>0</v>
      </c>
      <c r="U31" s="1271">
        <f t="shared" si="9"/>
        <v>71200</v>
      </c>
      <c r="V31" s="1121">
        <v>0</v>
      </c>
      <c r="W31" s="1121">
        <v>0</v>
      </c>
      <c r="X31" s="1121"/>
      <c r="Y31" s="1121">
        <f>60800+10400</f>
        <v>71200</v>
      </c>
      <c r="Z31" s="1121"/>
      <c r="AA31" s="1121"/>
      <c r="AB31" s="1121">
        <v>71200</v>
      </c>
      <c r="AC31" s="1121">
        <v>0</v>
      </c>
      <c r="AD31" s="1121"/>
      <c r="AE31" s="1121"/>
      <c r="AF31" s="1121">
        <v>0</v>
      </c>
      <c r="AG31" s="1121">
        <v>0</v>
      </c>
      <c r="AH31" s="1121"/>
      <c r="AI31" s="1121">
        <v>0</v>
      </c>
      <c r="AJ31" s="1121"/>
      <c r="AK31" s="1121"/>
      <c r="AL31" s="1121"/>
      <c r="AM31" s="1121"/>
      <c r="AN31" s="1149" t="s">
        <v>635</v>
      </c>
      <c r="AO31" s="1072"/>
      <c r="AP31" s="1072"/>
      <c r="AQ31" s="1072"/>
      <c r="AR31" s="1092"/>
      <c r="AS31" s="1092"/>
      <c r="AT31" s="1092"/>
      <c r="AU31" s="1092"/>
      <c r="AV31" s="1092"/>
      <c r="AW31" s="1092"/>
      <c r="AX31" s="1092"/>
      <c r="AY31" s="1092"/>
      <c r="AZ31" s="1092"/>
      <c r="BA31" s="1092"/>
      <c r="BB31" s="1092"/>
      <c r="BC31" s="1092"/>
      <c r="BD31" s="1092"/>
      <c r="BE31" s="1092"/>
      <c r="BF31" s="1092"/>
      <c r="BG31" s="1092"/>
      <c r="BH31" s="1092"/>
      <c r="BI31" s="1092"/>
      <c r="BJ31" s="1092"/>
      <c r="BK31" s="1078"/>
      <c r="BL31" s="1092"/>
      <c r="BM31" s="1092"/>
      <c r="BN31" s="1092"/>
      <c r="BO31" s="1092"/>
      <c r="BP31" s="1092"/>
      <c r="BQ31" s="1092"/>
      <c r="BR31" s="1092"/>
      <c r="BS31" s="1092"/>
      <c r="BT31" s="1092"/>
      <c r="BU31" s="1092"/>
      <c r="BV31" s="1092"/>
      <c r="BW31" s="1092"/>
      <c r="BX31" s="1080"/>
      <c r="BY31" s="1092"/>
      <c r="BZ31" s="1089"/>
      <c r="CA31" s="1082"/>
      <c r="CB31" s="1092"/>
      <c r="CC31" s="1092"/>
      <c r="CD31" s="1092"/>
      <c r="CE31" s="1092"/>
      <c r="CF31" s="1092"/>
      <c r="CG31" s="1092"/>
      <c r="CH31" s="1092"/>
      <c r="CI31" s="1092"/>
      <c r="CJ31" s="1092"/>
      <c r="CK31" s="1092"/>
      <c r="CL31" s="1092"/>
      <c r="CM31" s="1092"/>
      <c r="CN31" s="1092"/>
      <c r="CO31" s="1092"/>
      <c r="CP31" s="1092"/>
    </row>
    <row r="32" spans="1:94" s="930" customFormat="1" ht="106.5" customHeight="1" x14ac:dyDescent="0.2">
      <c r="A32" s="1122"/>
      <c r="B32" s="1122"/>
      <c r="C32" s="1272" t="s">
        <v>795</v>
      </c>
      <c r="D32" s="1273" t="s">
        <v>595</v>
      </c>
      <c r="E32" s="1274"/>
      <c r="F32" s="1274"/>
      <c r="G32" s="1274"/>
      <c r="H32" s="1274">
        <v>518000</v>
      </c>
      <c r="I32" s="1274">
        <v>0</v>
      </c>
      <c r="J32" s="1094">
        <f t="shared" ref="J32:J33" si="11">H32</f>
        <v>518000</v>
      </c>
      <c r="K32" s="1275"/>
      <c r="L32" s="1276"/>
      <c r="M32" s="1276"/>
      <c r="N32" s="1276"/>
      <c r="O32" s="1123"/>
      <c r="P32" s="1123"/>
      <c r="Q32" s="1123"/>
      <c r="R32" s="1123"/>
      <c r="S32" s="1277">
        <v>518000</v>
      </c>
      <c r="T32" s="1277">
        <v>0</v>
      </c>
      <c r="U32" s="1278">
        <f t="shared" ref="U32" si="12">S32+T32</f>
        <v>518000</v>
      </c>
      <c r="V32" s="1123">
        <v>0</v>
      </c>
      <c r="W32" s="1123"/>
      <c r="X32" s="1123"/>
      <c r="Y32" s="1277">
        <v>18000</v>
      </c>
      <c r="Z32" s="1123"/>
      <c r="AA32" s="1123"/>
      <c r="AB32" s="1277">
        <v>18000</v>
      </c>
      <c r="AC32" s="1123">
        <v>0</v>
      </c>
      <c r="AD32" s="1279">
        <v>0</v>
      </c>
      <c r="AE32" s="1123"/>
      <c r="AF32" s="1277">
        <v>500000</v>
      </c>
      <c r="AG32" s="1123">
        <v>0</v>
      </c>
      <c r="AH32" s="1123"/>
      <c r="AI32" s="1123">
        <v>0</v>
      </c>
      <c r="AJ32" s="1123"/>
      <c r="AK32" s="1123"/>
      <c r="AL32" s="1123"/>
      <c r="AM32" s="1123"/>
      <c r="AN32" s="1272" t="s">
        <v>796</v>
      </c>
      <c r="AO32" s="1110"/>
      <c r="AP32" s="1110"/>
      <c r="AQ32" s="1110"/>
      <c r="AR32" s="1110"/>
      <c r="AS32" s="1110"/>
      <c r="AT32" s="1110"/>
      <c r="AU32" s="1110"/>
      <c r="AV32" s="1110"/>
      <c r="AW32" s="1110"/>
      <c r="AX32" s="1110"/>
      <c r="AY32" s="1110"/>
      <c r="AZ32" s="1110"/>
      <c r="BA32" s="1110"/>
      <c r="BB32" s="1110"/>
      <c r="BC32" s="1110"/>
      <c r="BD32" s="1110"/>
      <c r="BE32" s="1110"/>
      <c r="BF32" s="1110"/>
      <c r="BG32" s="1110"/>
      <c r="BH32" s="1110"/>
      <c r="BI32" s="1110"/>
      <c r="BJ32" s="1110"/>
      <c r="BK32" s="1124"/>
      <c r="BL32" s="1110"/>
      <c r="BM32" s="1110"/>
      <c r="BN32" s="1110"/>
      <c r="BO32" s="1110"/>
      <c r="BP32" s="1110"/>
      <c r="BQ32" s="1110"/>
      <c r="BR32" s="1110"/>
      <c r="BS32" s="1110"/>
      <c r="BT32" s="1110"/>
      <c r="BU32" s="1110"/>
      <c r="BV32" s="1110"/>
      <c r="BW32" s="1110"/>
      <c r="BX32" s="1099"/>
      <c r="BY32" s="1110"/>
      <c r="BZ32" s="1082"/>
      <c r="CA32" s="1082"/>
      <c r="CB32" s="1110"/>
      <c r="CC32" s="1110"/>
      <c r="CD32" s="1110"/>
      <c r="CE32" s="1110"/>
      <c r="CF32" s="1110"/>
      <c r="CG32" s="1110"/>
      <c r="CH32" s="1110"/>
      <c r="CI32" s="1110"/>
      <c r="CJ32" s="1110"/>
      <c r="CK32" s="1110"/>
      <c r="CL32" s="1110"/>
      <c r="CM32" s="1110"/>
      <c r="CN32" s="1110"/>
      <c r="CO32" s="1110"/>
      <c r="CP32" s="1110"/>
    </row>
    <row r="33" spans="1:94" s="930" customFormat="1" ht="80.25" customHeight="1" x14ac:dyDescent="0.2">
      <c r="A33" s="1122"/>
      <c r="B33" s="1122"/>
      <c r="C33" s="1272" t="s">
        <v>797</v>
      </c>
      <c r="D33" s="1273" t="s">
        <v>594</v>
      </c>
      <c r="E33" s="1274"/>
      <c r="F33" s="1274"/>
      <c r="G33" s="1274"/>
      <c r="H33" s="1274">
        <v>654500</v>
      </c>
      <c r="I33" s="1274">
        <v>0</v>
      </c>
      <c r="J33" s="1094">
        <f t="shared" si="11"/>
        <v>654500</v>
      </c>
      <c r="K33" s="1275"/>
      <c r="L33" s="1276"/>
      <c r="M33" s="1276"/>
      <c r="N33" s="1276"/>
      <c r="O33" s="1123"/>
      <c r="P33" s="1123"/>
      <c r="Q33" s="1123"/>
      <c r="R33" s="1123"/>
      <c r="S33" s="1277">
        <v>654500</v>
      </c>
      <c r="T33" s="1277"/>
      <c r="U33" s="1278">
        <v>654500</v>
      </c>
      <c r="V33" s="1123">
        <v>0</v>
      </c>
      <c r="W33" s="1123"/>
      <c r="X33" s="1123"/>
      <c r="Y33" s="1277">
        <f>AB33</f>
        <v>654500</v>
      </c>
      <c r="Z33" s="1123"/>
      <c r="AA33" s="1123"/>
      <c r="AB33" s="1280">
        <f>574500+80000</f>
        <v>654500</v>
      </c>
      <c r="AC33" s="1123">
        <v>0</v>
      </c>
      <c r="AD33" s="1279">
        <f>H33-AB33</f>
        <v>0</v>
      </c>
      <c r="AE33" s="1123"/>
      <c r="AF33" s="1123">
        <v>0</v>
      </c>
      <c r="AG33" s="1123">
        <v>0</v>
      </c>
      <c r="AH33" s="1123"/>
      <c r="AI33" s="1123">
        <v>0</v>
      </c>
      <c r="AJ33" s="1123"/>
      <c r="AK33" s="1123"/>
      <c r="AL33" s="1123"/>
      <c r="AM33" s="1123"/>
      <c r="AN33" s="1272" t="s">
        <v>740</v>
      </c>
      <c r="AO33" s="1110"/>
      <c r="AP33" s="1110"/>
      <c r="AQ33" s="1110"/>
      <c r="AR33" s="1110"/>
      <c r="AS33" s="1110"/>
      <c r="AT33" s="1110"/>
      <c r="AU33" s="1110"/>
      <c r="AV33" s="1110"/>
      <c r="AW33" s="1110"/>
      <c r="AX33" s="1110"/>
      <c r="AY33" s="1110"/>
      <c r="AZ33" s="1110"/>
      <c r="BA33" s="1110"/>
      <c r="BB33" s="1110"/>
      <c r="BC33" s="1110"/>
      <c r="BD33" s="1110"/>
      <c r="BE33" s="1110"/>
      <c r="BF33" s="1110"/>
      <c r="BG33" s="1110"/>
      <c r="BH33" s="1110"/>
      <c r="BI33" s="1110"/>
      <c r="BJ33" s="1110"/>
      <c r="BK33" s="1124"/>
      <c r="BL33" s="1110"/>
      <c r="BM33" s="1110"/>
      <c r="BN33" s="1110"/>
      <c r="BO33" s="1110"/>
      <c r="BP33" s="1110"/>
      <c r="BQ33" s="1110"/>
      <c r="BR33" s="1110"/>
      <c r="BS33" s="1110"/>
      <c r="BT33" s="1110"/>
      <c r="BU33" s="1110"/>
      <c r="BV33" s="1110"/>
      <c r="BW33" s="1110"/>
      <c r="BX33" s="1099"/>
      <c r="BY33" s="1110"/>
      <c r="BZ33" s="1082"/>
      <c r="CA33" s="1082"/>
      <c r="CB33" s="1110"/>
      <c r="CC33" s="1110"/>
      <c r="CD33" s="1110"/>
      <c r="CE33" s="1110"/>
      <c r="CF33" s="1110"/>
      <c r="CG33" s="1110"/>
      <c r="CH33" s="1110"/>
      <c r="CI33" s="1110"/>
      <c r="CJ33" s="1110"/>
      <c r="CK33" s="1110"/>
      <c r="CL33" s="1110"/>
      <c r="CM33" s="1110"/>
      <c r="CN33" s="1110"/>
      <c r="CO33" s="1110"/>
      <c r="CP33" s="1110"/>
    </row>
    <row r="34" spans="1:94" s="604" customFormat="1" ht="69.75" customHeight="1" x14ac:dyDescent="0.65">
      <c r="A34" s="1049"/>
      <c r="B34" s="1049"/>
      <c r="C34" s="1125" t="s">
        <v>573</v>
      </c>
      <c r="D34" s="1239"/>
      <c r="E34" s="1240">
        <f>E35+E42+E45+E56+E58+E60</f>
        <v>15543400</v>
      </c>
      <c r="F34" s="1240">
        <f>F35+F42+F45+F56+F58+F60</f>
        <v>67000000</v>
      </c>
      <c r="G34" s="1240">
        <f>G35+G42+G45+G56+G58+G60</f>
        <v>82543400</v>
      </c>
      <c r="H34" s="1240">
        <f>H35+H42+H45+H56+H58+H60</f>
        <v>15309900</v>
      </c>
      <c r="I34" s="1240">
        <f t="shared" ref="I34:AM34" si="13">I35+I42+I45+I56+I58+I60</f>
        <v>66969000</v>
      </c>
      <c r="J34" s="1240">
        <f t="shared" si="13"/>
        <v>82278900</v>
      </c>
      <c r="K34" s="1241">
        <f t="shared" si="13"/>
        <v>36</v>
      </c>
      <c r="L34" s="1238">
        <f t="shared" si="13"/>
        <v>18</v>
      </c>
      <c r="M34" s="1238">
        <f t="shared" si="13"/>
        <v>0</v>
      </c>
      <c r="N34" s="1238">
        <f t="shared" si="13"/>
        <v>0</v>
      </c>
      <c r="O34" s="1238">
        <f t="shared" si="13"/>
        <v>6</v>
      </c>
      <c r="P34" s="1238">
        <f t="shared" si="13"/>
        <v>0</v>
      </c>
      <c r="Q34" s="1238" t="e">
        <f t="shared" si="13"/>
        <v>#VALUE!</v>
      </c>
      <c r="R34" s="1238">
        <f t="shared" si="13"/>
        <v>0</v>
      </c>
      <c r="S34" s="1238">
        <f>S35+S42+S45+S56+S58+S60</f>
        <v>15299700</v>
      </c>
      <c r="T34" s="1238">
        <f t="shared" ref="T34:U34" si="14">T35+T42+T45+T56+T58+T60</f>
        <v>66969000</v>
      </c>
      <c r="U34" s="1238">
        <f t="shared" si="14"/>
        <v>82268700</v>
      </c>
      <c r="V34" s="1238">
        <f t="shared" si="13"/>
        <v>41319258</v>
      </c>
      <c r="W34" s="1238">
        <f t="shared" si="13"/>
        <v>60000</v>
      </c>
      <c r="X34" s="1238">
        <f t="shared" si="13"/>
        <v>0</v>
      </c>
      <c r="Y34" s="1238">
        <f t="shared" si="13"/>
        <v>52190068</v>
      </c>
      <c r="Z34" s="1238">
        <f t="shared" si="13"/>
        <v>0</v>
      </c>
      <c r="AA34" s="1238">
        <f t="shared" si="13"/>
        <v>0</v>
      </c>
      <c r="AB34" s="1238">
        <f t="shared" si="13"/>
        <v>14479700</v>
      </c>
      <c r="AC34" s="1238">
        <f t="shared" si="13"/>
        <v>37710368</v>
      </c>
      <c r="AD34" s="1238">
        <f t="shared" si="13"/>
        <v>0</v>
      </c>
      <c r="AE34" s="1238">
        <f t="shared" si="13"/>
        <v>0</v>
      </c>
      <c r="AF34" s="1238">
        <f>AF35+AF42+AF45+AF56+AF58+AF60</f>
        <v>30078632</v>
      </c>
      <c r="AG34" s="1238">
        <f>AG35+AG42+AG45+AG56+AG58+AG60</f>
        <v>10200</v>
      </c>
      <c r="AH34" s="1238">
        <f t="shared" si="13"/>
        <v>0</v>
      </c>
      <c r="AI34" s="1238">
        <f t="shared" si="13"/>
        <v>10200</v>
      </c>
      <c r="AJ34" s="1238">
        <f t="shared" si="13"/>
        <v>0</v>
      </c>
      <c r="AK34" s="1238">
        <f t="shared" si="13"/>
        <v>35000</v>
      </c>
      <c r="AL34" s="1238" t="e">
        <f t="shared" si="13"/>
        <v>#VALUE!</v>
      </c>
      <c r="AM34" s="1238">
        <f t="shared" si="13"/>
        <v>0</v>
      </c>
      <c r="AN34" s="1238">
        <f>Y34+AF34+AG34</f>
        <v>82278900</v>
      </c>
      <c r="AO34" s="1026"/>
      <c r="AP34" s="1026"/>
      <c r="AQ34" s="1026"/>
      <c r="AR34" s="1092"/>
      <c r="AS34" s="1092"/>
      <c r="AT34" s="1092"/>
      <c r="AU34" s="1126">
        <v>2538250</v>
      </c>
      <c r="AV34" s="1126"/>
      <c r="AW34" s="1092"/>
      <c r="AX34" s="1127">
        <f>3131250-Y34</f>
        <v>-49058818</v>
      </c>
      <c r="AY34" s="1092"/>
      <c r="AZ34" s="1092"/>
      <c r="BA34" s="1092"/>
      <c r="BB34" s="1128">
        <v>3131250</v>
      </c>
      <c r="BC34" s="1092">
        <v>0</v>
      </c>
      <c r="BD34" s="1129">
        <v>3131250</v>
      </c>
      <c r="BE34" s="1130">
        <f>BD34-Y34</f>
        <v>-49058818</v>
      </c>
      <c r="BF34" s="1130">
        <v>3131250</v>
      </c>
      <c r="BG34" s="1130">
        <f>Y34-BF34</f>
        <v>49058818</v>
      </c>
      <c r="BH34" s="1092"/>
      <c r="BI34" s="1128">
        <v>3131250</v>
      </c>
      <c r="BJ34" s="1130">
        <f>BI34-Y34</f>
        <v>-49058818</v>
      </c>
      <c r="BK34" s="1078">
        <v>3143850</v>
      </c>
      <c r="BL34" s="1131">
        <f>3746850+3134750</f>
        <v>6881600</v>
      </c>
      <c r="BM34" s="1131">
        <f>BL34-Y34</f>
        <v>-45308468</v>
      </c>
      <c r="BN34" s="1131">
        <f>41990000+21232150+3746850+7849000+3155150</f>
        <v>77973150</v>
      </c>
      <c r="BO34" s="1131">
        <f>BN34-V34</f>
        <v>36653892</v>
      </c>
      <c r="BP34" s="1078">
        <f>3746850+3155150</f>
        <v>6902000</v>
      </c>
      <c r="BQ34" s="1132">
        <f>BP34-Y34</f>
        <v>-45288068</v>
      </c>
      <c r="BR34" s="1092"/>
      <c r="BS34" s="1133">
        <v>7049400</v>
      </c>
      <c r="BT34" s="1134">
        <f>BS34-Y34</f>
        <v>-45140668</v>
      </c>
      <c r="BU34" s="1135">
        <v>36377650</v>
      </c>
      <c r="BV34" s="1131">
        <f>BU34-Y34</f>
        <v>-15812418</v>
      </c>
      <c r="BW34" s="1092"/>
      <c r="BX34" s="1089">
        <f>24979000+11872050</f>
        <v>36851050</v>
      </c>
      <c r="BY34" s="1130">
        <f>BX34-Y34</f>
        <v>-15339018</v>
      </c>
      <c r="BZ34" s="1136">
        <v>40084972</v>
      </c>
      <c r="CA34" s="1137"/>
      <c r="CB34" s="1092"/>
      <c r="CC34" s="1092"/>
      <c r="CD34" s="1092"/>
      <c r="CE34" s="1092"/>
      <c r="CF34" s="1092"/>
      <c r="CG34" s="1092"/>
      <c r="CH34" s="1092"/>
      <c r="CI34" s="1092"/>
      <c r="CJ34" s="1092"/>
      <c r="CK34" s="1092"/>
      <c r="CL34" s="1092"/>
      <c r="CM34" s="1092"/>
      <c r="CN34" s="1092"/>
      <c r="CO34" s="1092"/>
      <c r="CP34" s="1092"/>
    </row>
    <row r="35" spans="1:94" s="603" customFormat="1" ht="73.5" customHeight="1" x14ac:dyDescent="0.6">
      <c r="A35" s="1083">
        <v>8</v>
      </c>
      <c r="B35" s="1083"/>
      <c r="C35" s="1084" t="s">
        <v>266</v>
      </c>
      <c r="D35" s="1085"/>
      <c r="E35" s="1147">
        <f>E36+E40+E41</f>
        <v>5523400</v>
      </c>
      <c r="F35" s="1147">
        <f>F36+F40+F41</f>
        <v>0</v>
      </c>
      <c r="G35" s="1147">
        <f>G36+G40+G41</f>
        <v>5523400</v>
      </c>
      <c r="H35" s="1147">
        <f>H36+H40+H41</f>
        <v>5443400</v>
      </c>
      <c r="I35" s="1147">
        <f t="shared" ref="I35:AG35" si="15">I36+I40+I41</f>
        <v>0</v>
      </c>
      <c r="J35" s="1147">
        <f t="shared" si="15"/>
        <v>5443400</v>
      </c>
      <c r="K35" s="1281">
        <f t="shared" si="15"/>
        <v>36</v>
      </c>
      <c r="L35" s="1086">
        <f t="shared" si="15"/>
        <v>18</v>
      </c>
      <c r="M35" s="1086">
        <f t="shared" si="15"/>
        <v>0</v>
      </c>
      <c r="N35" s="1086">
        <f t="shared" si="15"/>
        <v>0</v>
      </c>
      <c r="O35" s="1086">
        <f t="shared" si="15"/>
        <v>6</v>
      </c>
      <c r="P35" s="1086">
        <f t="shared" si="15"/>
        <v>0</v>
      </c>
      <c r="Q35" s="1086" t="e">
        <f t="shared" si="15"/>
        <v>#VALUE!</v>
      </c>
      <c r="R35" s="1086">
        <f t="shared" si="15"/>
        <v>0</v>
      </c>
      <c r="S35" s="1086">
        <f>S36+S40+S41</f>
        <v>5442300</v>
      </c>
      <c r="T35" s="1086">
        <f t="shared" si="15"/>
        <v>0</v>
      </c>
      <c r="U35" s="1086">
        <f t="shared" si="15"/>
        <v>5442300</v>
      </c>
      <c r="V35" s="1086">
        <f t="shared" si="15"/>
        <v>1489900</v>
      </c>
      <c r="W35" s="1086">
        <f t="shared" si="15"/>
        <v>0</v>
      </c>
      <c r="X35" s="1086">
        <f t="shared" si="15"/>
        <v>0</v>
      </c>
      <c r="Y35" s="1086">
        <f t="shared" si="15"/>
        <v>4743300</v>
      </c>
      <c r="Z35" s="1086">
        <f t="shared" si="15"/>
        <v>0</v>
      </c>
      <c r="AA35" s="1086">
        <f t="shared" si="15"/>
        <v>0</v>
      </c>
      <c r="AB35" s="1086">
        <f t="shared" si="15"/>
        <v>4743300</v>
      </c>
      <c r="AC35" s="1086">
        <f t="shared" si="15"/>
        <v>0</v>
      </c>
      <c r="AD35" s="1086">
        <f t="shared" si="15"/>
        <v>0</v>
      </c>
      <c r="AE35" s="1086">
        <f t="shared" si="15"/>
        <v>0</v>
      </c>
      <c r="AF35" s="1086">
        <f t="shared" si="15"/>
        <v>699000</v>
      </c>
      <c r="AG35" s="1086">
        <f t="shared" si="15"/>
        <v>1100</v>
      </c>
      <c r="AH35" s="1086"/>
      <c r="AI35" s="1086">
        <f>AI36+AI40+AI41</f>
        <v>1100</v>
      </c>
      <c r="AJ35" s="1086"/>
      <c r="AK35" s="1086"/>
      <c r="AL35" s="1086"/>
      <c r="AM35" s="1086"/>
      <c r="AN35" s="1282"/>
      <c r="AO35" s="1093"/>
      <c r="AP35" s="1093"/>
      <c r="AQ35" s="1093"/>
      <c r="AR35" s="1092"/>
      <c r="AS35" s="1092"/>
      <c r="AT35" s="1092"/>
      <c r="AU35" s="1138">
        <f>AU34-Y34</f>
        <v>-49651818</v>
      </c>
      <c r="AV35" s="1138"/>
      <c r="AW35" s="1092"/>
      <c r="AX35" s="1092"/>
      <c r="AY35" s="1092"/>
      <c r="AZ35" s="1092"/>
      <c r="BA35" s="1092"/>
      <c r="BB35" s="1092"/>
      <c r="BC35" s="1092"/>
      <c r="BD35" s="1092"/>
      <c r="BE35" s="1092"/>
      <c r="BF35" s="1092"/>
      <c r="BG35" s="1092"/>
      <c r="BH35" s="1092"/>
      <c r="BI35" s="1092"/>
      <c r="BJ35" s="1092"/>
      <c r="BK35" s="1078"/>
      <c r="BL35" s="1130">
        <f>BL34-Y34</f>
        <v>-45308468</v>
      </c>
      <c r="BM35" s="1092"/>
      <c r="BN35" s="1092"/>
      <c r="BO35" s="1092"/>
      <c r="BP35" s="1092"/>
      <c r="BQ35" s="1092"/>
      <c r="BR35" s="1092"/>
      <c r="BS35" s="1092"/>
      <c r="BT35" s="1092"/>
      <c r="BU35" s="1139">
        <f>3952400-Y35</f>
        <v>-790900</v>
      </c>
      <c r="BV35" s="1092"/>
      <c r="BW35" s="1092"/>
      <c r="BX35" s="1080"/>
      <c r="BY35" s="1092"/>
      <c r="BZ35" s="1089">
        <f>4140297800-V34</f>
        <v>4098978542</v>
      </c>
      <c r="CA35" s="1124"/>
      <c r="CB35" s="1092"/>
      <c r="CC35" s="1092"/>
      <c r="CD35" s="1092"/>
      <c r="CE35" s="1092"/>
      <c r="CF35" s="1092"/>
      <c r="CG35" s="1092"/>
      <c r="CH35" s="1092"/>
      <c r="CI35" s="1092"/>
      <c r="CJ35" s="1092"/>
      <c r="CK35" s="1092"/>
      <c r="CL35" s="1092"/>
      <c r="CM35" s="1092"/>
      <c r="CN35" s="1092"/>
      <c r="CO35" s="1092"/>
      <c r="CP35" s="1092"/>
    </row>
    <row r="36" spans="1:94" s="830" customFormat="1" ht="52.5" customHeight="1" x14ac:dyDescent="0.6">
      <c r="A36" s="1083"/>
      <c r="B36" s="1083"/>
      <c r="C36" s="1084" t="s">
        <v>267</v>
      </c>
      <c r="D36" s="1085" t="s">
        <v>273</v>
      </c>
      <c r="E36" s="1147">
        <f>E37+E38+E39</f>
        <v>1073400</v>
      </c>
      <c r="F36" s="1147">
        <v>0</v>
      </c>
      <c r="G36" s="1147">
        <f>G37+G38+G39</f>
        <v>1073400</v>
      </c>
      <c r="H36" s="1147">
        <f>H37+H38+H39</f>
        <v>1053500</v>
      </c>
      <c r="I36" s="1147">
        <v>0</v>
      </c>
      <c r="J36" s="1147">
        <f>J37+J38+J39</f>
        <v>1053500</v>
      </c>
      <c r="K36" s="1177">
        <v>12</v>
      </c>
      <c r="L36" s="1178">
        <v>3</v>
      </c>
      <c r="M36" s="1178"/>
      <c r="N36" s="1178"/>
      <c r="O36" s="1178">
        <v>2</v>
      </c>
      <c r="P36" s="1178"/>
      <c r="Q36" s="1179" t="s">
        <v>185</v>
      </c>
      <c r="R36" s="1179"/>
      <c r="S36" s="1180">
        <f>S37+S38+S39</f>
        <v>1052400</v>
      </c>
      <c r="T36" s="1180">
        <v>0</v>
      </c>
      <c r="U36" s="1180">
        <f>U37+U38+U39</f>
        <v>1052400</v>
      </c>
      <c r="V36" s="1086">
        <f>V37+V38+V39</f>
        <v>699000</v>
      </c>
      <c r="W36" s="1086">
        <v>0</v>
      </c>
      <c r="X36" s="1086"/>
      <c r="Y36" s="1086">
        <f>Y37+Y38+Y39</f>
        <v>353400</v>
      </c>
      <c r="Z36" s="1086"/>
      <c r="AA36" s="1086"/>
      <c r="AB36" s="1086">
        <f>Y36</f>
        <v>353400</v>
      </c>
      <c r="AC36" s="1086">
        <v>0</v>
      </c>
      <c r="AD36" s="1086">
        <v>0</v>
      </c>
      <c r="AE36" s="1086"/>
      <c r="AF36" s="1086">
        <v>699000</v>
      </c>
      <c r="AG36" s="1283">
        <f>AG37+AG38+AG39</f>
        <v>1100</v>
      </c>
      <c r="AH36" s="1086"/>
      <c r="AI36" s="1086">
        <f>AI37+AI38+AI39</f>
        <v>0</v>
      </c>
      <c r="AJ36" s="1086"/>
      <c r="AK36" s="1086"/>
      <c r="AL36" s="1086"/>
      <c r="AM36" s="1086"/>
      <c r="AN36" s="1140"/>
      <c r="AO36" s="1088"/>
      <c r="AP36" s="1088"/>
      <c r="AQ36" s="1088"/>
      <c r="AR36" s="1141"/>
      <c r="AS36" s="1141"/>
      <c r="AT36" s="1141"/>
      <c r="AU36" s="1141"/>
      <c r="AV36" s="1141"/>
      <c r="AW36" s="1141"/>
      <c r="AX36" s="1141" t="s">
        <v>466</v>
      </c>
      <c r="AY36" s="1141"/>
      <c r="AZ36" s="1141"/>
      <c r="BA36" s="1141"/>
      <c r="BB36" s="1141"/>
      <c r="BC36" s="1141"/>
      <c r="BD36" s="1141"/>
      <c r="BE36" s="1141"/>
      <c r="BF36" s="1141"/>
      <c r="BG36" s="1141"/>
      <c r="BH36" s="1141"/>
      <c r="BI36" s="1141"/>
      <c r="BJ36" s="1141"/>
      <c r="BK36" s="1135"/>
      <c r="BL36" s="1141"/>
      <c r="BM36" s="1141"/>
      <c r="BN36" s="1141"/>
      <c r="BO36" s="1141"/>
      <c r="BP36" s="1141"/>
      <c r="BQ36" s="1141"/>
      <c r="BR36" s="1141"/>
      <c r="BS36" s="1141"/>
      <c r="BT36" s="1141"/>
      <c r="BU36" s="1141"/>
      <c r="BV36" s="1141"/>
      <c r="BW36" s="1141"/>
      <c r="BX36" s="1142"/>
      <c r="BY36" s="1141"/>
      <c r="BZ36" s="1143"/>
      <c r="CA36" s="1144"/>
      <c r="CB36" s="1141"/>
      <c r="CC36" s="1141"/>
      <c r="CD36" s="1141"/>
      <c r="CE36" s="1141"/>
      <c r="CF36" s="1141"/>
      <c r="CG36" s="1141"/>
      <c r="CH36" s="1141"/>
      <c r="CI36" s="1141"/>
      <c r="CJ36" s="1141"/>
      <c r="CK36" s="1141"/>
      <c r="CL36" s="1141"/>
      <c r="CM36" s="1141"/>
      <c r="CN36" s="1141"/>
      <c r="CO36" s="1141"/>
      <c r="CP36" s="1141"/>
    </row>
    <row r="37" spans="1:94" s="209" customFormat="1" ht="80.25" customHeight="1" x14ac:dyDescent="0.6">
      <c r="A37" s="1069"/>
      <c r="B37" s="1069"/>
      <c r="C37" s="1109" t="s">
        <v>575</v>
      </c>
      <c r="D37" s="1070" t="s">
        <v>273</v>
      </c>
      <c r="E37" s="1094">
        <v>113400</v>
      </c>
      <c r="F37" s="1094">
        <v>0</v>
      </c>
      <c r="G37" s="1094">
        <v>113400</v>
      </c>
      <c r="H37" s="1094">
        <v>113400</v>
      </c>
      <c r="I37" s="1094">
        <v>0</v>
      </c>
      <c r="J37" s="1094">
        <v>113400</v>
      </c>
      <c r="K37" s="1249">
        <v>12</v>
      </c>
      <c r="L37" s="1250">
        <v>6</v>
      </c>
      <c r="M37" s="1250"/>
      <c r="N37" s="1250"/>
      <c r="O37" s="1250">
        <v>2</v>
      </c>
      <c r="P37" s="1250"/>
      <c r="Q37" s="1251" t="s">
        <v>185</v>
      </c>
      <c r="R37" s="1251"/>
      <c r="S37" s="1186">
        <v>113400</v>
      </c>
      <c r="T37" s="1186">
        <v>0</v>
      </c>
      <c r="U37" s="1186">
        <f>S37+T37</f>
        <v>113400</v>
      </c>
      <c r="V37" s="1071">
        <v>0</v>
      </c>
      <c r="W37" s="1071">
        <v>0</v>
      </c>
      <c r="X37" s="1071"/>
      <c r="Y37" s="1071">
        <f>93000+20400</f>
        <v>113400</v>
      </c>
      <c r="Z37" s="1071"/>
      <c r="AA37" s="1071"/>
      <c r="AB37" s="1071">
        <f>Y37</f>
        <v>113400</v>
      </c>
      <c r="AC37" s="1071">
        <v>0</v>
      </c>
      <c r="AD37" s="1071">
        <f>J37-Y37</f>
        <v>0</v>
      </c>
      <c r="AE37" s="1071"/>
      <c r="AF37" s="1284">
        <v>0</v>
      </c>
      <c r="AG37" s="1094">
        <v>0</v>
      </c>
      <c r="AH37" s="1285"/>
      <c r="AI37" s="1103">
        <v>0</v>
      </c>
      <c r="AJ37" s="1103"/>
      <c r="AK37" s="1103"/>
      <c r="AL37" s="1103"/>
      <c r="AM37" s="1103"/>
      <c r="AN37" s="1286" t="s">
        <v>621</v>
      </c>
      <c r="AO37" s="1145"/>
      <c r="AP37" s="1145"/>
      <c r="AQ37" s="1145"/>
      <c r="AR37" s="1092"/>
      <c r="AS37" s="1092"/>
      <c r="AT37" s="1092"/>
      <c r="AU37" s="1092"/>
      <c r="AV37" s="1092"/>
      <c r="AW37" s="1092"/>
      <c r="AX37" s="1092"/>
      <c r="AY37" s="1092"/>
      <c r="AZ37" s="1092"/>
      <c r="BA37" s="1092"/>
      <c r="BB37" s="1092"/>
      <c r="BC37" s="1092"/>
      <c r="BD37" s="1092"/>
      <c r="BE37" s="1092"/>
      <c r="BF37" s="1092"/>
      <c r="BG37" s="1092"/>
      <c r="BH37" s="1092"/>
      <c r="BI37" s="1092"/>
      <c r="BJ37" s="1092"/>
      <c r="BK37" s="1078"/>
      <c r="BL37" s="1092"/>
      <c r="BM37" s="1092"/>
      <c r="BN37" s="1092"/>
      <c r="BO37" s="1092"/>
      <c r="BP37" s="1092" t="s">
        <v>515</v>
      </c>
      <c r="BQ37" s="1092"/>
      <c r="BR37" s="1092"/>
      <c r="BS37" s="1092"/>
      <c r="BT37" s="1092"/>
      <c r="BU37" s="1092"/>
      <c r="BV37" s="1092"/>
      <c r="BW37" s="1092"/>
      <c r="BX37" s="1080"/>
      <c r="BY37" s="1092"/>
      <c r="BZ37" s="1089"/>
      <c r="CA37" s="1082"/>
      <c r="CB37" s="1092"/>
      <c r="CC37" s="1092"/>
      <c r="CD37" s="1092"/>
      <c r="CE37" s="1092"/>
      <c r="CF37" s="1092"/>
      <c r="CG37" s="1092"/>
      <c r="CH37" s="1092"/>
      <c r="CI37" s="1092"/>
      <c r="CJ37" s="1092"/>
      <c r="CK37" s="1092"/>
      <c r="CL37" s="1092"/>
      <c r="CM37" s="1092"/>
      <c r="CN37" s="1092"/>
      <c r="CO37" s="1092"/>
      <c r="CP37" s="1092"/>
    </row>
    <row r="38" spans="1:94" s="209" customFormat="1" ht="67.5" customHeight="1" x14ac:dyDescent="0.6">
      <c r="A38" s="1069"/>
      <c r="B38" s="1069"/>
      <c r="C38" s="1109" t="s">
        <v>479</v>
      </c>
      <c r="D38" s="1070" t="s">
        <v>273</v>
      </c>
      <c r="E38" s="1094">
        <v>240000</v>
      </c>
      <c r="F38" s="1094">
        <v>0</v>
      </c>
      <c r="G38" s="1094">
        <v>240000</v>
      </c>
      <c r="H38" s="1094">
        <v>240000</v>
      </c>
      <c r="I38" s="1094">
        <v>0</v>
      </c>
      <c r="J38" s="1094">
        <v>240000</v>
      </c>
      <c r="K38" s="1249">
        <v>12</v>
      </c>
      <c r="L38" s="1250"/>
      <c r="M38" s="1250"/>
      <c r="N38" s="1250"/>
      <c r="O38" s="1250">
        <v>2</v>
      </c>
      <c r="P38" s="1250"/>
      <c r="Q38" s="1251" t="s">
        <v>185</v>
      </c>
      <c r="R38" s="1251"/>
      <c r="S38" s="1186">
        <v>240000</v>
      </c>
      <c r="T38" s="1186">
        <v>0</v>
      </c>
      <c r="U38" s="1186">
        <f>S38+T38</f>
        <v>240000</v>
      </c>
      <c r="V38" s="1071">
        <v>0</v>
      </c>
      <c r="W38" s="1071">
        <v>0</v>
      </c>
      <c r="X38" s="1071"/>
      <c r="Y38" s="1071">
        <v>240000</v>
      </c>
      <c r="Z38" s="1071"/>
      <c r="AA38" s="1071"/>
      <c r="AB38" s="1071">
        <f>Y38</f>
        <v>240000</v>
      </c>
      <c r="AC38" s="1071">
        <v>0</v>
      </c>
      <c r="AD38" s="1071">
        <v>0</v>
      </c>
      <c r="AE38" s="1071"/>
      <c r="AF38" s="1284">
        <v>0</v>
      </c>
      <c r="AG38" s="1094">
        <v>0</v>
      </c>
      <c r="AH38" s="1287"/>
      <c r="AI38" s="1121">
        <v>0</v>
      </c>
      <c r="AJ38" s="1121"/>
      <c r="AK38" s="1121"/>
      <c r="AL38" s="1121"/>
      <c r="AM38" s="1121"/>
      <c r="AN38" s="1288" t="s">
        <v>534</v>
      </c>
      <c r="AO38" s="1145"/>
      <c r="AP38" s="1145"/>
      <c r="AQ38" s="1145"/>
      <c r="AR38" s="1092"/>
      <c r="AS38" s="1092"/>
      <c r="AT38" s="1092"/>
      <c r="AU38" s="1092"/>
      <c r="AV38" s="1092"/>
      <c r="AW38" s="1092"/>
      <c r="AX38" s="1092"/>
      <c r="AY38" s="1092"/>
      <c r="AZ38" s="1092"/>
      <c r="BA38" s="1092"/>
      <c r="BB38" s="1092"/>
      <c r="BC38" s="1092"/>
      <c r="BD38" s="1092"/>
      <c r="BE38" s="1092"/>
      <c r="BF38" s="1092"/>
      <c r="BG38" s="1092"/>
      <c r="BH38" s="1092"/>
      <c r="BI38" s="1092"/>
      <c r="BJ38" s="1092"/>
      <c r="BK38" s="1078"/>
      <c r="BL38" s="1092"/>
      <c r="BM38" s="1092"/>
      <c r="BN38" s="1092"/>
      <c r="BO38" s="1092"/>
      <c r="BP38" s="1092"/>
      <c r="BQ38" s="1092"/>
      <c r="BR38" s="1092"/>
      <c r="BS38" s="1092"/>
      <c r="BT38" s="1092"/>
      <c r="BU38" s="1092"/>
      <c r="BV38" s="1092"/>
      <c r="BW38" s="1092"/>
      <c r="BX38" s="1080"/>
      <c r="BY38" s="1092"/>
      <c r="BZ38" s="1089"/>
      <c r="CA38" s="1082"/>
      <c r="CB38" s="1092"/>
      <c r="CC38" s="1092"/>
      <c r="CD38" s="1092"/>
      <c r="CE38" s="1092"/>
      <c r="CF38" s="1092"/>
      <c r="CG38" s="1092"/>
      <c r="CH38" s="1092"/>
      <c r="CI38" s="1092"/>
      <c r="CJ38" s="1092"/>
      <c r="CK38" s="1092"/>
      <c r="CL38" s="1092"/>
      <c r="CM38" s="1092"/>
      <c r="CN38" s="1092"/>
      <c r="CO38" s="1092"/>
      <c r="CP38" s="1092"/>
    </row>
    <row r="39" spans="1:94" s="209" customFormat="1" ht="174.75" customHeight="1" x14ac:dyDescent="0.6">
      <c r="A39" s="1069"/>
      <c r="B39" s="1069"/>
      <c r="C39" s="1109" t="s">
        <v>574</v>
      </c>
      <c r="D39" s="1070" t="s">
        <v>273</v>
      </c>
      <c r="E39" s="1094">
        <v>720000</v>
      </c>
      <c r="F39" s="1094">
        <v>0</v>
      </c>
      <c r="G39" s="1094">
        <v>720000</v>
      </c>
      <c r="H39" s="1094">
        <f>720000-19900</f>
        <v>700100</v>
      </c>
      <c r="I39" s="1094">
        <v>0</v>
      </c>
      <c r="J39" s="1094">
        <f>H39</f>
        <v>700100</v>
      </c>
      <c r="K39" s="1249">
        <v>12</v>
      </c>
      <c r="L39" s="1250"/>
      <c r="M39" s="1250"/>
      <c r="N39" s="1250"/>
      <c r="O39" s="1250">
        <v>2</v>
      </c>
      <c r="P39" s="1250"/>
      <c r="Q39" s="1251" t="s">
        <v>185</v>
      </c>
      <c r="R39" s="1251"/>
      <c r="S39" s="1186">
        <f>V39</f>
        <v>699000</v>
      </c>
      <c r="T39" s="1186">
        <v>0</v>
      </c>
      <c r="U39" s="1186">
        <v>699000</v>
      </c>
      <c r="V39" s="1071">
        <v>699000</v>
      </c>
      <c r="W39" s="1071">
        <v>0</v>
      </c>
      <c r="X39" s="1071"/>
      <c r="Y39" s="1071">
        <v>0</v>
      </c>
      <c r="Z39" s="1071"/>
      <c r="AA39" s="1071"/>
      <c r="AB39" s="1071">
        <f>Y39</f>
        <v>0</v>
      </c>
      <c r="AC39" s="1071">
        <v>0</v>
      </c>
      <c r="AD39" s="1071">
        <v>0</v>
      </c>
      <c r="AE39" s="1071"/>
      <c r="AF39" s="1071">
        <v>699000</v>
      </c>
      <c r="AG39" s="1146">
        <f>J39-V39</f>
        <v>1100</v>
      </c>
      <c r="AH39" s="1146"/>
      <c r="AI39" s="1146">
        <f>21000-AK39</f>
        <v>0</v>
      </c>
      <c r="AJ39" s="1146"/>
      <c r="AK39" s="1146">
        <v>21000</v>
      </c>
      <c r="AL39" s="1071" t="s">
        <v>586</v>
      </c>
      <c r="AM39" s="1121"/>
      <c r="AN39" s="1288" t="s">
        <v>744</v>
      </c>
      <c r="AO39" s="1145"/>
      <c r="AP39" s="1145"/>
      <c r="AQ39" s="1145"/>
      <c r="AR39" s="1092"/>
      <c r="AS39" s="1092"/>
      <c r="AT39" s="1092"/>
      <c r="AU39" s="1092"/>
      <c r="AV39" s="1092"/>
      <c r="AW39" s="1092"/>
      <c r="AX39" s="1092"/>
      <c r="AY39" s="1092"/>
      <c r="AZ39" s="1092"/>
      <c r="BA39" s="1092"/>
      <c r="BB39" s="1092"/>
      <c r="BC39" s="1092"/>
      <c r="BD39" s="1092"/>
      <c r="BE39" s="1092"/>
      <c r="BF39" s="1092"/>
      <c r="BG39" s="1092"/>
      <c r="BH39" s="1092"/>
      <c r="BI39" s="1092"/>
      <c r="BJ39" s="1092"/>
      <c r="BK39" s="1078"/>
      <c r="BL39" s="1092"/>
      <c r="BM39" s="1092"/>
      <c r="BN39" s="1092"/>
      <c r="BO39" s="1092"/>
      <c r="BP39" s="1092"/>
      <c r="BQ39" s="1092"/>
      <c r="BR39" s="1092"/>
      <c r="BS39" s="1092"/>
      <c r="BT39" s="1092"/>
      <c r="BU39" s="1092"/>
      <c r="BV39" s="1092"/>
      <c r="BW39" s="1092"/>
      <c r="BX39" s="1080"/>
      <c r="BY39" s="1092"/>
      <c r="BZ39" s="1089"/>
      <c r="CA39" s="1082"/>
      <c r="CB39" s="1092"/>
      <c r="CC39" s="1092"/>
      <c r="CD39" s="1092"/>
      <c r="CE39" s="1092"/>
      <c r="CF39" s="1092"/>
      <c r="CG39" s="1092"/>
      <c r="CH39" s="1092"/>
      <c r="CI39" s="1092"/>
      <c r="CJ39" s="1092"/>
      <c r="CK39" s="1092"/>
      <c r="CL39" s="1092"/>
      <c r="CM39" s="1092"/>
      <c r="CN39" s="1092"/>
      <c r="CO39" s="1092"/>
      <c r="CP39" s="1092"/>
    </row>
    <row r="40" spans="1:94" s="209" customFormat="1" ht="72" customHeight="1" x14ac:dyDescent="0.6">
      <c r="A40" s="1069"/>
      <c r="B40" s="1069"/>
      <c r="C40" s="1109" t="s">
        <v>268</v>
      </c>
      <c r="D40" s="1070" t="s">
        <v>338</v>
      </c>
      <c r="E40" s="1094">
        <v>3650000</v>
      </c>
      <c r="F40" s="1094">
        <v>0</v>
      </c>
      <c r="G40" s="1094">
        <v>3650000</v>
      </c>
      <c r="H40" s="1094">
        <f>3650000-51000</f>
        <v>3599000</v>
      </c>
      <c r="I40" s="1094">
        <v>0</v>
      </c>
      <c r="J40" s="1094">
        <f>H40</f>
        <v>3599000</v>
      </c>
      <c r="K40" s="1249">
        <v>12</v>
      </c>
      <c r="L40" s="1250">
        <v>6</v>
      </c>
      <c r="M40" s="1250"/>
      <c r="N40" s="1250"/>
      <c r="O40" s="1250">
        <v>2</v>
      </c>
      <c r="P40" s="1250"/>
      <c r="Q40" s="1251" t="s">
        <v>185</v>
      </c>
      <c r="R40" s="1251"/>
      <c r="S40" s="1180">
        <f>Y40</f>
        <v>3599000</v>
      </c>
      <c r="T40" s="1180">
        <v>0</v>
      </c>
      <c r="U40" s="1180">
        <f>S40+T40</f>
        <v>3599000</v>
      </c>
      <c r="V40" s="1071">
        <v>0</v>
      </c>
      <c r="W40" s="1071"/>
      <c r="X40" s="1071"/>
      <c r="Y40" s="1071">
        <v>3599000</v>
      </c>
      <c r="Z40" s="1071"/>
      <c r="AA40" s="1071">
        <v>0</v>
      </c>
      <c r="AB40" s="1071">
        <v>3599000</v>
      </c>
      <c r="AC40" s="1071">
        <v>0</v>
      </c>
      <c r="AD40" s="1071">
        <v>0</v>
      </c>
      <c r="AE40" s="1071"/>
      <c r="AF40" s="1071">
        <v>0</v>
      </c>
      <c r="AG40" s="1071">
        <f>J40-AB40</f>
        <v>0</v>
      </c>
      <c r="AH40" s="1071"/>
      <c r="AI40" s="1071">
        <f>51000-AK40</f>
        <v>0</v>
      </c>
      <c r="AJ40" s="1071"/>
      <c r="AK40" s="1071">
        <v>51000</v>
      </c>
      <c r="AL40" s="1071" t="s">
        <v>585</v>
      </c>
      <c r="AM40" s="1146"/>
      <c r="AN40" s="1289" t="s">
        <v>529</v>
      </c>
      <c r="AO40" s="1072"/>
      <c r="AP40" s="1072"/>
      <c r="AQ40" s="1072"/>
      <c r="AR40" s="1092"/>
      <c r="AS40" s="1092"/>
      <c r="AT40" s="1092"/>
      <c r="AU40" s="1092"/>
      <c r="AV40" s="1092"/>
      <c r="AW40" s="1092"/>
      <c r="AX40" s="1092"/>
      <c r="AY40" s="1092"/>
      <c r="AZ40" s="1092"/>
      <c r="BA40" s="1092"/>
      <c r="BB40" s="1092"/>
      <c r="BC40" s="1092"/>
      <c r="BD40" s="1092"/>
      <c r="BE40" s="1092"/>
      <c r="BF40" s="1092"/>
      <c r="BG40" s="1092"/>
      <c r="BH40" s="1092"/>
      <c r="BI40" s="1092"/>
      <c r="BJ40" s="1092"/>
      <c r="BK40" s="1078"/>
      <c r="BL40" s="1092"/>
      <c r="BM40" s="1092"/>
      <c r="BN40" s="1092"/>
      <c r="BO40" s="1092"/>
      <c r="BP40" s="1092"/>
      <c r="BQ40" s="1092"/>
      <c r="BR40" s="1092"/>
      <c r="BS40" s="1092"/>
      <c r="BT40" s="1092"/>
      <c r="BU40" s="1092"/>
      <c r="BV40" s="1092"/>
      <c r="BW40" s="1092"/>
      <c r="BX40" s="1080"/>
      <c r="BY40" s="1092"/>
      <c r="BZ40" s="1089"/>
      <c r="CA40" s="1082"/>
      <c r="CB40" s="1092"/>
      <c r="CC40" s="1092"/>
      <c r="CD40" s="1092"/>
      <c r="CE40" s="1092"/>
      <c r="CF40" s="1092"/>
      <c r="CG40" s="1092"/>
      <c r="CH40" s="1092"/>
      <c r="CI40" s="1092"/>
      <c r="CJ40" s="1092"/>
      <c r="CK40" s="1092"/>
      <c r="CL40" s="1092"/>
      <c r="CM40" s="1092"/>
      <c r="CN40" s="1092"/>
      <c r="CO40" s="1092"/>
      <c r="CP40" s="1092"/>
    </row>
    <row r="41" spans="1:94" s="209" customFormat="1" ht="90.6" customHeight="1" x14ac:dyDescent="0.6">
      <c r="A41" s="1069"/>
      <c r="B41" s="1069"/>
      <c r="C41" s="1109" t="s">
        <v>269</v>
      </c>
      <c r="D41" s="1070" t="s">
        <v>338</v>
      </c>
      <c r="E41" s="1094">
        <v>800000</v>
      </c>
      <c r="F41" s="1094">
        <v>0</v>
      </c>
      <c r="G41" s="1094">
        <f>E41+F41</f>
        <v>800000</v>
      </c>
      <c r="H41" s="1094">
        <f>800000-9100</f>
        <v>790900</v>
      </c>
      <c r="I41" s="1094">
        <v>0</v>
      </c>
      <c r="J41" s="1094">
        <f>H41+I41</f>
        <v>790900</v>
      </c>
      <c r="K41" s="1249">
        <v>12</v>
      </c>
      <c r="L41" s="1250">
        <v>9</v>
      </c>
      <c r="M41" s="1250"/>
      <c r="N41" s="1250"/>
      <c r="O41" s="1250">
        <v>2</v>
      </c>
      <c r="P41" s="1250"/>
      <c r="Q41" s="1251" t="s">
        <v>185</v>
      </c>
      <c r="R41" s="1251"/>
      <c r="S41" s="1180">
        <f>V41</f>
        <v>790900</v>
      </c>
      <c r="T41" s="1180">
        <v>0</v>
      </c>
      <c r="U41" s="1180">
        <f>S41+T41</f>
        <v>790900</v>
      </c>
      <c r="V41" s="1071">
        <v>790900</v>
      </c>
      <c r="W41" s="1071">
        <v>0</v>
      </c>
      <c r="X41" s="1071"/>
      <c r="Y41" s="1071">
        <v>790900</v>
      </c>
      <c r="Z41" s="1071"/>
      <c r="AA41" s="1071">
        <v>0</v>
      </c>
      <c r="AB41" s="1071">
        <v>790900</v>
      </c>
      <c r="AC41" s="1071">
        <v>0</v>
      </c>
      <c r="AD41" s="1071">
        <v>0</v>
      </c>
      <c r="AE41" s="1071"/>
      <c r="AF41" s="1071">
        <v>0</v>
      </c>
      <c r="AG41" s="1071">
        <f>J41-V41</f>
        <v>0</v>
      </c>
      <c r="AH41" s="1071"/>
      <c r="AI41" s="1071">
        <f>9100-AK41</f>
        <v>1100</v>
      </c>
      <c r="AJ41" s="1071"/>
      <c r="AK41" s="1071">
        <v>8000</v>
      </c>
      <c r="AL41" s="1071" t="s">
        <v>582</v>
      </c>
      <c r="AM41" s="1071"/>
      <c r="AN41" s="1149" t="s">
        <v>745</v>
      </c>
      <c r="AO41" s="1072"/>
      <c r="AP41" s="1072"/>
      <c r="AQ41" s="1072"/>
      <c r="AR41" s="1092"/>
      <c r="AS41" s="1092"/>
      <c r="AT41" s="1092"/>
      <c r="AU41" s="1092"/>
      <c r="AV41" s="1092"/>
      <c r="AW41" s="1092"/>
      <c r="AX41" s="1092"/>
      <c r="AY41" s="1092"/>
      <c r="AZ41" s="1092"/>
      <c r="BA41" s="1092"/>
      <c r="BB41" s="1092"/>
      <c r="BC41" s="1092"/>
      <c r="BD41" s="1092"/>
      <c r="BE41" s="1092"/>
      <c r="BF41" s="1092"/>
      <c r="BG41" s="1092"/>
      <c r="BH41" s="1092"/>
      <c r="BI41" s="1092"/>
      <c r="BJ41" s="1092"/>
      <c r="BK41" s="1078"/>
      <c r="BL41" s="1092"/>
      <c r="BM41" s="1092"/>
      <c r="BN41" s="1092"/>
      <c r="BO41" s="1092"/>
      <c r="BP41" s="1092"/>
      <c r="BQ41" s="1092"/>
      <c r="BR41" s="1092"/>
      <c r="BS41" s="1092"/>
      <c r="BT41" s="1092"/>
      <c r="BU41" s="1092"/>
      <c r="BV41" s="1092"/>
      <c r="BW41" s="1092"/>
      <c r="BX41" s="1080"/>
      <c r="BY41" s="1092"/>
      <c r="BZ41" s="1089"/>
      <c r="CA41" s="1082"/>
      <c r="CB41" s="1092"/>
      <c r="CC41" s="1092"/>
      <c r="CD41" s="1092"/>
      <c r="CE41" s="1092"/>
      <c r="CF41" s="1092"/>
      <c r="CG41" s="1092"/>
      <c r="CH41" s="1092"/>
      <c r="CI41" s="1092"/>
      <c r="CJ41" s="1092"/>
      <c r="CK41" s="1092"/>
      <c r="CL41" s="1092"/>
      <c r="CM41" s="1092"/>
      <c r="CN41" s="1092"/>
      <c r="CO41" s="1092"/>
      <c r="CP41" s="1092"/>
    </row>
    <row r="42" spans="1:94" s="603" customFormat="1" ht="75.75" customHeight="1" x14ac:dyDescent="0.6">
      <c r="A42" s="1083">
        <v>9</v>
      </c>
      <c r="B42" s="1083"/>
      <c r="C42" s="1084" t="s">
        <v>270</v>
      </c>
      <c r="D42" s="1085" t="s">
        <v>338</v>
      </c>
      <c r="E42" s="1147">
        <f t="shared" ref="E42:J42" si="16">SUM(E43:E44)</f>
        <v>4984000</v>
      </c>
      <c r="F42" s="1147">
        <f t="shared" si="16"/>
        <v>0</v>
      </c>
      <c r="G42" s="1147">
        <f t="shared" si="16"/>
        <v>4984000</v>
      </c>
      <c r="H42" s="1147">
        <f t="shared" si="16"/>
        <v>4244500</v>
      </c>
      <c r="I42" s="1147">
        <f t="shared" si="16"/>
        <v>0</v>
      </c>
      <c r="J42" s="1147">
        <f t="shared" si="16"/>
        <v>4244500</v>
      </c>
      <c r="K42" s="1177"/>
      <c r="L42" s="1178"/>
      <c r="M42" s="1178"/>
      <c r="N42" s="1178"/>
      <c r="O42" s="1178"/>
      <c r="P42" s="1178"/>
      <c r="Q42" s="1179"/>
      <c r="R42" s="1179"/>
      <c r="S42" s="1180">
        <f>S43+S44</f>
        <v>4244500</v>
      </c>
      <c r="T42" s="1180">
        <f>T43+T44</f>
        <v>0</v>
      </c>
      <c r="U42" s="1180">
        <f>S42+T42</f>
        <v>4244500</v>
      </c>
      <c r="V42" s="1086">
        <f>V43+V44</f>
        <v>0</v>
      </c>
      <c r="W42" s="1086">
        <v>0</v>
      </c>
      <c r="X42" s="1086"/>
      <c r="Y42" s="1086">
        <f>SUM(Y43:Y44)</f>
        <v>4244500</v>
      </c>
      <c r="Z42" s="1086"/>
      <c r="AA42" s="1086"/>
      <c r="AB42" s="1086">
        <f>AB43+AB44</f>
        <v>4244500</v>
      </c>
      <c r="AC42" s="1086">
        <v>0</v>
      </c>
      <c r="AD42" s="1086">
        <f>AD43+AD44</f>
        <v>0</v>
      </c>
      <c r="AE42" s="1086"/>
      <c r="AF42" s="1086">
        <f>SUM(AF43:AF44)</f>
        <v>0</v>
      </c>
      <c r="AG42" s="1086"/>
      <c r="AH42" s="1086"/>
      <c r="AI42" s="1086">
        <f>AI43+AI44</f>
        <v>0</v>
      </c>
      <c r="AJ42" s="1086"/>
      <c r="AK42" s="1086"/>
      <c r="AL42" s="1086"/>
      <c r="AM42" s="1086"/>
      <c r="AN42" s="1140"/>
      <c r="AO42" s="1088"/>
      <c r="AP42" s="1088"/>
      <c r="AQ42" s="1088"/>
      <c r="AR42" s="1092"/>
      <c r="AS42" s="1092"/>
      <c r="AT42" s="1092"/>
      <c r="AU42" s="1092"/>
      <c r="AV42" s="1092"/>
      <c r="AW42" s="1092"/>
      <c r="AX42" s="1092"/>
      <c r="AY42" s="1092"/>
      <c r="AZ42" s="1092"/>
      <c r="BA42" s="1092"/>
      <c r="BB42" s="1092"/>
      <c r="BC42" s="1092"/>
      <c r="BD42" s="1092"/>
      <c r="BE42" s="1092"/>
      <c r="BF42" s="1092"/>
      <c r="BG42" s="1092"/>
      <c r="BH42" s="1092"/>
      <c r="BI42" s="1092"/>
      <c r="BJ42" s="1092"/>
      <c r="BK42" s="1078"/>
      <c r="BL42" s="1092"/>
      <c r="BM42" s="1092"/>
      <c r="BN42" s="1092"/>
      <c r="BO42" s="1092"/>
      <c r="BP42" s="1092"/>
      <c r="BQ42" s="1092"/>
      <c r="BR42" s="1092"/>
      <c r="BS42" s="1092"/>
      <c r="BT42" s="1092"/>
      <c r="BU42" s="1092"/>
      <c r="BV42" s="1092"/>
      <c r="BW42" s="1092"/>
      <c r="BX42" s="1080"/>
      <c r="BY42" s="1092"/>
      <c r="BZ42" s="1089"/>
      <c r="CA42" s="1082"/>
      <c r="CB42" s="1092"/>
      <c r="CC42" s="1092"/>
      <c r="CD42" s="1092"/>
      <c r="CE42" s="1092"/>
      <c r="CF42" s="1092"/>
      <c r="CG42" s="1092"/>
      <c r="CH42" s="1092"/>
      <c r="CI42" s="1092"/>
      <c r="CJ42" s="1092"/>
      <c r="CK42" s="1092"/>
      <c r="CL42" s="1092"/>
      <c r="CM42" s="1092"/>
      <c r="CN42" s="1092"/>
      <c r="CO42" s="1092"/>
      <c r="CP42" s="1092"/>
    </row>
    <row r="43" spans="1:94" s="209" customFormat="1" ht="71.25" customHeight="1" x14ac:dyDescent="0.6">
      <c r="A43" s="1069"/>
      <c r="B43" s="1069"/>
      <c r="C43" s="1109" t="s">
        <v>271</v>
      </c>
      <c r="D43" s="1070" t="s">
        <v>338</v>
      </c>
      <c r="E43" s="1094">
        <v>4300000</v>
      </c>
      <c r="F43" s="1094">
        <v>0</v>
      </c>
      <c r="G43" s="1094">
        <v>4300000</v>
      </c>
      <c r="H43" s="1094">
        <f>4300000-50000-5500</f>
        <v>4244500</v>
      </c>
      <c r="I43" s="1094">
        <v>0</v>
      </c>
      <c r="J43" s="1094">
        <v>4244500</v>
      </c>
      <c r="K43" s="1249">
        <v>12</v>
      </c>
      <c r="L43" s="1250">
        <v>6</v>
      </c>
      <c r="M43" s="1250"/>
      <c r="N43" s="1250"/>
      <c r="O43" s="1250">
        <v>2</v>
      </c>
      <c r="P43" s="1250"/>
      <c r="Q43" s="1251" t="s">
        <v>185</v>
      </c>
      <c r="R43" s="1251"/>
      <c r="S43" s="1186">
        <v>4244500</v>
      </c>
      <c r="T43" s="1186">
        <v>0</v>
      </c>
      <c r="U43" s="1186">
        <f>4250000-5500</f>
        <v>4244500</v>
      </c>
      <c r="V43" s="1071">
        <v>0</v>
      </c>
      <c r="W43" s="1071">
        <v>0</v>
      </c>
      <c r="X43" s="1071"/>
      <c r="Y43" s="1071">
        <v>4244500</v>
      </c>
      <c r="Z43" s="1071"/>
      <c r="AA43" s="1071"/>
      <c r="AB43" s="1071">
        <v>4244500</v>
      </c>
      <c r="AC43" s="1071">
        <v>0</v>
      </c>
      <c r="AD43" s="1071">
        <v>0</v>
      </c>
      <c r="AE43" s="1071"/>
      <c r="AF43" s="1071">
        <v>0</v>
      </c>
      <c r="AG43" s="1071">
        <v>0</v>
      </c>
      <c r="AH43" s="1071"/>
      <c r="AI43" s="1071">
        <f>50000+5500-AK43</f>
        <v>0</v>
      </c>
      <c r="AJ43" s="1071"/>
      <c r="AK43" s="1071">
        <f>55500</f>
        <v>55500</v>
      </c>
      <c r="AL43" s="1071" t="s">
        <v>587</v>
      </c>
      <c r="AM43" s="1071"/>
      <c r="AN43" s="1149" t="s">
        <v>751</v>
      </c>
      <c r="AO43" s="1072"/>
      <c r="AP43" s="1072"/>
      <c r="AQ43" s="1072"/>
      <c r="AR43" s="1092"/>
      <c r="AS43" s="1092"/>
      <c r="AT43" s="1092"/>
      <c r="AU43" s="1092"/>
      <c r="AV43" s="1092"/>
      <c r="AW43" s="1092"/>
      <c r="AX43" s="1092"/>
      <c r="AY43" s="1092"/>
      <c r="AZ43" s="1092"/>
      <c r="BA43" s="1092"/>
      <c r="BB43" s="1092"/>
      <c r="BC43" s="1092"/>
      <c r="BD43" s="1092"/>
      <c r="BE43" s="1092"/>
      <c r="BF43" s="1092"/>
      <c r="BG43" s="1092"/>
      <c r="BH43" s="1092"/>
      <c r="BI43" s="1092"/>
      <c r="BJ43" s="1092"/>
      <c r="BK43" s="1078"/>
      <c r="BL43" s="1092"/>
      <c r="BM43" s="1092"/>
      <c r="BN43" s="1092"/>
      <c r="BO43" s="1092"/>
      <c r="BP43" s="1092"/>
      <c r="BQ43" s="1092"/>
      <c r="BR43" s="1092"/>
      <c r="BS43" s="1092"/>
      <c r="BT43" s="1092"/>
      <c r="BU43" s="1148"/>
      <c r="BV43" s="1092"/>
      <c r="BW43" s="1092"/>
      <c r="BX43" s="1080"/>
      <c r="BY43" s="1092"/>
      <c r="BZ43" s="1089"/>
      <c r="CA43" s="1082"/>
      <c r="CB43" s="1092"/>
      <c r="CC43" s="1092"/>
      <c r="CD43" s="1092"/>
      <c r="CE43" s="1092"/>
      <c r="CF43" s="1092"/>
      <c r="CG43" s="1092"/>
      <c r="CH43" s="1092"/>
      <c r="CI43" s="1092"/>
      <c r="CJ43" s="1092"/>
      <c r="CK43" s="1092"/>
      <c r="CL43" s="1092"/>
      <c r="CM43" s="1092"/>
      <c r="CN43" s="1092"/>
      <c r="CO43" s="1092"/>
      <c r="CP43" s="1092"/>
    </row>
    <row r="44" spans="1:94" s="209" customFormat="1" ht="88.5" customHeight="1" x14ac:dyDescent="0.6">
      <c r="A44" s="1069"/>
      <c r="B44" s="1069"/>
      <c r="C44" s="1109" t="s">
        <v>668</v>
      </c>
      <c r="D44" s="1070" t="s">
        <v>338</v>
      </c>
      <c r="E44" s="1094">
        <v>684000</v>
      </c>
      <c r="F44" s="1094">
        <v>0</v>
      </c>
      <c r="G44" s="1094">
        <v>684000</v>
      </c>
      <c r="H44" s="1094">
        <v>0</v>
      </c>
      <c r="I44" s="1094">
        <v>0</v>
      </c>
      <c r="J44" s="1094">
        <v>0</v>
      </c>
      <c r="K44" s="1249">
        <v>12</v>
      </c>
      <c r="L44" s="1250">
        <v>9</v>
      </c>
      <c r="M44" s="1250"/>
      <c r="N44" s="1250"/>
      <c r="O44" s="1250">
        <v>2</v>
      </c>
      <c r="P44" s="1250"/>
      <c r="Q44" s="1251" t="s">
        <v>185</v>
      </c>
      <c r="R44" s="1251"/>
      <c r="S44" s="1186">
        <v>0</v>
      </c>
      <c r="T44" s="1186">
        <v>0</v>
      </c>
      <c r="U44" s="1186">
        <v>0</v>
      </c>
      <c r="V44" s="1071">
        <v>0</v>
      </c>
      <c r="W44" s="1071">
        <v>0</v>
      </c>
      <c r="X44" s="1071"/>
      <c r="Y44" s="1071">
        <v>0</v>
      </c>
      <c r="Z44" s="1071"/>
      <c r="AA44" s="1071"/>
      <c r="AB44" s="1071">
        <f>Y44</f>
        <v>0</v>
      </c>
      <c r="AC44" s="1071">
        <v>0</v>
      </c>
      <c r="AD44" s="1071">
        <v>0</v>
      </c>
      <c r="AE44" s="1071"/>
      <c r="AF44" s="1071">
        <v>0</v>
      </c>
      <c r="AG44" s="1071">
        <v>0</v>
      </c>
      <c r="AH44" s="1071"/>
      <c r="AI44" s="1071">
        <v>0</v>
      </c>
      <c r="AJ44" s="1071"/>
      <c r="AK44" s="1071">
        <v>684000</v>
      </c>
      <c r="AL44" s="1071"/>
      <c r="AM44" s="1071"/>
      <c r="AN44" s="1149" t="s">
        <v>530</v>
      </c>
      <c r="AO44" s="1072"/>
      <c r="AP44" s="1072"/>
      <c r="AQ44" s="1072"/>
      <c r="AR44" s="1092"/>
      <c r="AS44" s="1092"/>
      <c r="AT44" s="1092"/>
      <c r="AU44" s="1092"/>
      <c r="AV44" s="1092"/>
      <c r="AW44" s="1092"/>
      <c r="AX44" s="1092"/>
      <c r="AY44" s="1092"/>
      <c r="AZ44" s="1092"/>
      <c r="BA44" s="1092"/>
      <c r="BB44" s="1092"/>
      <c r="BC44" s="1092"/>
      <c r="BD44" s="1092"/>
      <c r="BE44" s="1092"/>
      <c r="BF44" s="1092"/>
      <c r="BG44" s="1092"/>
      <c r="BH44" s="1092"/>
      <c r="BI44" s="1092"/>
      <c r="BJ44" s="1092"/>
      <c r="BK44" s="1078"/>
      <c r="BL44" s="1092"/>
      <c r="BM44" s="1092"/>
      <c r="BN44" s="1092"/>
      <c r="BO44" s="1092"/>
      <c r="BP44" s="1092"/>
      <c r="BQ44" s="1092"/>
      <c r="BR44" s="1092"/>
      <c r="BS44" s="1092"/>
      <c r="BT44" s="1092"/>
      <c r="BU44" s="1092"/>
      <c r="BV44" s="1092"/>
      <c r="BW44" s="1092"/>
      <c r="BX44" s="1080"/>
      <c r="BY44" s="1092"/>
      <c r="BZ44" s="1089"/>
      <c r="CA44" s="1082"/>
      <c r="CB44" s="1092"/>
      <c r="CC44" s="1092"/>
      <c r="CD44" s="1092"/>
      <c r="CE44" s="1092"/>
      <c r="CF44" s="1092"/>
      <c r="CG44" s="1092"/>
      <c r="CH44" s="1092"/>
      <c r="CI44" s="1092"/>
      <c r="CJ44" s="1092"/>
      <c r="CK44" s="1092"/>
      <c r="CL44" s="1092"/>
      <c r="CM44" s="1092"/>
      <c r="CN44" s="1092"/>
      <c r="CO44" s="1092"/>
      <c r="CP44" s="1092"/>
    </row>
    <row r="45" spans="1:94" s="603" customFormat="1" ht="88.5" customHeight="1" x14ac:dyDescent="0.6">
      <c r="A45" s="1083">
        <v>10</v>
      </c>
      <c r="B45" s="1083"/>
      <c r="C45" s="1084" t="s">
        <v>274</v>
      </c>
      <c r="D45" s="1085" t="s">
        <v>374</v>
      </c>
      <c r="E45" s="1147">
        <f t="shared" ref="E45:J45" si="17">E46+E51</f>
        <v>5036000</v>
      </c>
      <c r="F45" s="1147">
        <f t="shared" si="17"/>
        <v>0</v>
      </c>
      <c r="G45" s="1147">
        <f t="shared" si="17"/>
        <v>5036000</v>
      </c>
      <c r="H45" s="1147">
        <f t="shared" si="17"/>
        <v>4938000</v>
      </c>
      <c r="I45" s="1147">
        <f t="shared" si="17"/>
        <v>0</v>
      </c>
      <c r="J45" s="1147">
        <f t="shared" si="17"/>
        <v>4938000</v>
      </c>
      <c r="K45" s="1177"/>
      <c r="L45" s="1178"/>
      <c r="M45" s="1178"/>
      <c r="N45" s="1178"/>
      <c r="O45" s="1178"/>
      <c r="P45" s="1178"/>
      <c r="Q45" s="1179"/>
      <c r="R45" s="1179"/>
      <c r="S45" s="1180">
        <f>S46+S51</f>
        <v>4928900</v>
      </c>
      <c r="T45" s="1180">
        <f t="shared" ref="T45:U45" si="18">T46+T51</f>
        <v>0</v>
      </c>
      <c r="U45" s="1180">
        <f t="shared" si="18"/>
        <v>4928900</v>
      </c>
      <c r="V45" s="1086">
        <f>V46+V51</f>
        <v>686280</v>
      </c>
      <c r="W45" s="1086">
        <v>50000</v>
      </c>
      <c r="X45" s="1086"/>
      <c r="Y45" s="1086">
        <f>Y46+Y51</f>
        <v>4807900</v>
      </c>
      <c r="Z45" s="1086">
        <f>Z46+Z51</f>
        <v>0</v>
      </c>
      <c r="AA45" s="1086">
        <f>AA46+AA51</f>
        <v>0</v>
      </c>
      <c r="AB45" s="1086">
        <f>AB46+AB51</f>
        <v>4807900</v>
      </c>
      <c r="AC45" s="1086">
        <f t="shared" ref="AC45:AM45" si="19">AC46+AC51</f>
        <v>0</v>
      </c>
      <c r="AD45" s="1086">
        <f t="shared" si="19"/>
        <v>0</v>
      </c>
      <c r="AE45" s="1086">
        <f t="shared" si="19"/>
        <v>0</v>
      </c>
      <c r="AF45" s="1086">
        <f>AF46+AF51</f>
        <v>121000</v>
      </c>
      <c r="AG45" s="1086">
        <f>AG46+AG51</f>
        <v>9100</v>
      </c>
      <c r="AH45" s="1086">
        <f t="shared" si="19"/>
        <v>0</v>
      </c>
      <c r="AI45" s="1086">
        <f t="shared" si="19"/>
        <v>9100</v>
      </c>
      <c r="AJ45" s="1086">
        <f t="shared" si="19"/>
        <v>0</v>
      </c>
      <c r="AK45" s="1086">
        <f t="shared" si="19"/>
        <v>35000</v>
      </c>
      <c r="AL45" s="1086" t="e">
        <f t="shared" si="19"/>
        <v>#VALUE!</v>
      </c>
      <c r="AM45" s="1086">
        <f t="shared" si="19"/>
        <v>0</v>
      </c>
      <c r="AN45" s="1140"/>
      <c r="AO45" s="1088"/>
      <c r="AP45" s="1088"/>
      <c r="AQ45" s="1088"/>
      <c r="AR45" s="1092"/>
      <c r="AS45" s="1092"/>
      <c r="AT45" s="1092"/>
      <c r="AU45" s="1092"/>
      <c r="AV45" s="1092"/>
      <c r="AW45" s="1092"/>
      <c r="AX45" s="1092"/>
      <c r="AY45" s="1092"/>
      <c r="AZ45" s="1092"/>
      <c r="BA45" s="1092"/>
      <c r="BB45" s="1092"/>
      <c r="BC45" s="1092"/>
      <c r="BD45" s="1092"/>
      <c r="BE45" s="1092"/>
      <c r="BF45" s="1092"/>
      <c r="BG45" s="1092"/>
      <c r="BH45" s="1092"/>
      <c r="BI45" s="1092"/>
      <c r="BJ45" s="1092"/>
      <c r="BK45" s="1078"/>
      <c r="BL45" s="1092"/>
      <c r="BM45" s="1092"/>
      <c r="BN45" s="1092"/>
      <c r="BO45" s="1092"/>
      <c r="BP45" s="1092"/>
      <c r="BQ45" s="1092"/>
      <c r="BR45" s="1092"/>
      <c r="BS45" s="1092"/>
      <c r="BT45" s="1092"/>
      <c r="BU45" s="1092"/>
      <c r="BV45" s="1092"/>
      <c r="BW45" s="1092"/>
      <c r="BX45" s="1080"/>
      <c r="BY45" s="1092"/>
      <c r="BZ45" s="1089"/>
      <c r="CA45" s="1082"/>
      <c r="CB45" s="1092"/>
      <c r="CC45" s="1092"/>
      <c r="CD45" s="1092"/>
      <c r="CE45" s="1092"/>
      <c r="CF45" s="1092"/>
      <c r="CG45" s="1092"/>
      <c r="CH45" s="1092"/>
      <c r="CI45" s="1092"/>
      <c r="CJ45" s="1092"/>
      <c r="CK45" s="1092"/>
      <c r="CL45" s="1092"/>
      <c r="CM45" s="1092"/>
      <c r="CN45" s="1092"/>
      <c r="CO45" s="1092"/>
      <c r="CP45" s="1092"/>
    </row>
    <row r="46" spans="1:94" s="827" customFormat="1" ht="86.25" customHeight="1" x14ac:dyDescent="0.6">
      <c r="A46" s="1069"/>
      <c r="B46" s="1069"/>
      <c r="C46" s="1084" t="s">
        <v>275</v>
      </c>
      <c r="D46" s="1085" t="s">
        <v>374</v>
      </c>
      <c r="E46" s="1147">
        <f>E47+E48+E49+E50</f>
        <v>3886000</v>
      </c>
      <c r="F46" s="1147">
        <v>0</v>
      </c>
      <c r="G46" s="1147">
        <f>E46+F46</f>
        <v>3886000</v>
      </c>
      <c r="H46" s="1147">
        <f>H47+H48+H49+H50</f>
        <v>3823000</v>
      </c>
      <c r="I46" s="1147">
        <v>0</v>
      </c>
      <c r="J46" s="1147">
        <f>H46+I46</f>
        <v>3823000</v>
      </c>
      <c r="K46" s="1177"/>
      <c r="L46" s="1178"/>
      <c r="M46" s="1178"/>
      <c r="N46" s="1178"/>
      <c r="O46" s="1178"/>
      <c r="P46" s="1178"/>
      <c r="Q46" s="1179"/>
      <c r="R46" s="1179"/>
      <c r="S46" s="1180">
        <f>S47+S48+S49+S50</f>
        <v>3823000</v>
      </c>
      <c r="T46" s="1180">
        <f>T47+T48+T49+T50</f>
        <v>0</v>
      </c>
      <c r="U46" s="1180">
        <f>U47+U48+U49+U50</f>
        <v>3823000</v>
      </c>
      <c r="V46" s="1086">
        <v>0</v>
      </c>
      <c r="W46" s="1086">
        <v>50000</v>
      </c>
      <c r="X46" s="1086"/>
      <c r="Y46" s="1086">
        <f>Y47+Y48+Y49+Y50</f>
        <v>3823000</v>
      </c>
      <c r="Z46" s="1086"/>
      <c r="AA46" s="1086"/>
      <c r="AB46" s="1086">
        <f>AB47+AB48+AB49+AB50</f>
        <v>3823000</v>
      </c>
      <c r="AC46" s="1086">
        <v>0</v>
      </c>
      <c r="AD46" s="1086">
        <f>AD47+AD48+AD49+AD50</f>
        <v>0</v>
      </c>
      <c r="AE46" s="1086"/>
      <c r="AF46" s="1086">
        <v>0</v>
      </c>
      <c r="AG46" s="1086">
        <v>0</v>
      </c>
      <c r="AH46" s="1086"/>
      <c r="AI46" s="1086">
        <f>AI47+AI48+AI49+AI50</f>
        <v>0</v>
      </c>
      <c r="AJ46" s="1086"/>
      <c r="AK46" s="1086"/>
      <c r="AL46" s="1086"/>
      <c r="AM46" s="1086"/>
      <c r="AN46" s="1149"/>
      <c r="AO46" s="1072"/>
      <c r="AP46" s="1072"/>
      <c r="AQ46" s="1072"/>
      <c r="AR46" s="1092"/>
      <c r="AS46" s="1092"/>
      <c r="AT46" s="1092"/>
      <c r="AU46" s="1092"/>
      <c r="AV46" s="1092"/>
      <c r="AW46" s="1092"/>
      <c r="AX46" s="1092"/>
      <c r="AY46" s="1092"/>
      <c r="AZ46" s="1092"/>
      <c r="BA46" s="1092"/>
      <c r="BB46" s="1092"/>
      <c r="BC46" s="1092"/>
      <c r="BD46" s="1092"/>
      <c r="BE46" s="1092"/>
      <c r="BF46" s="1092"/>
      <c r="BG46" s="1092"/>
      <c r="BH46" s="1092"/>
      <c r="BI46" s="1092"/>
      <c r="BJ46" s="1092"/>
      <c r="BK46" s="1078"/>
      <c r="BL46" s="1092"/>
      <c r="BM46" s="1092"/>
      <c r="BN46" s="1092"/>
      <c r="BO46" s="1092"/>
      <c r="BP46" s="1092"/>
      <c r="BQ46" s="1092"/>
      <c r="BR46" s="1092"/>
      <c r="BS46" s="1092"/>
      <c r="BT46" s="1092"/>
      <c r="BU46" s="1092"/>
      <c r="BV46" s="1092"/>
      <c r="BW46" s="1092"/>
      <c r="BX46" s="1080"/>
      <c r="BY46" s="1092"/>
      <c r="BZ46" s="1089"/>
      <c r="CA46" s="1082"/>
      <c r="CB46" s="1092"/>
      <c r="CC46" s="1092"/>
      <c r="CD46" s="1092"/>
      <c r="CE46" s="1092"/>
      <c r="CF46" s="1092"/>
      <c r="CG46" s="1092"/>
      <c r="CH46" s="1092"/>
      <c r="CI46" s="1092"/>
      <c r="CJ46" s="1092"/>
      <c r="CK46" s="1092"/>
      <c r="CL46" s="1092"/>
      <c r="CM46" s="1092"/>
      <c r="CN46" s="1092"/>
      <c r="CO46" s="1092"/>
      <c r="CP46" s="1092"/>
    </row>
    <row r="47" spans="1:94" s="209" customFormat="1" ht="77.25" customHeight="1" x14ac:dyDescent="0.6">
      <c r="A47" s="1069"/>
      <c r="B47" s="1069"/>
      <c r="C47" s="1109" t="s">
        <v>305</v>
      </c>
      <c r="D47" s="1070" t="s">
        <v>374</v>
      </c>
      <c r="E47" s="1094">
        <v>486000</v>
      </c>
      <c r="F47" s="1094">
        <v>0</v>
      </c>
      <c r="G47" s="1094">
        <f>E47+F47</f>
        <v>486000</v>
      </c>
      <c r="H47" s="1094">
        <v>486000</v>
      </c>
      <c r="I47" s="1094">
        <v>0</v>
      </c>
      <c r="J47" s="1094">
        <f t="shared" ref="J47:J55" si="20">H47+I47</f>
        <v>486000</v>
      </c>
      <c r="K47" s="1249">
        <v>5</v>
      </c>
      <c r="L47" s="1250">
        <v>6</v>
      </c>
      <c r="M47" s="1250"/>
      <c r="N47" s="1250"/>
      <c r="O47" s="1250">
        <v>2</v>
      </c>
      <c r="P47" s="1250"/>
      <c r="Q47" s="1251" t="s">
        <v>185</v>
      </c>
      <c r="R47" s="1251"/>
      <c r="S47" s="1186">
        <f>Y47</f>
        <v>486000</v>
      </c>
      <c r="T47" s="1186">
        <v>0</v>
      </c>
      <c r="U47" s="1186">
        <f>S47</f>
        <v>486000</v>
      </c>
      <c r="V47" s="1071">
        <v>0</v>
      </c>
      <c r="W47" s="1071">
        <v>0</v>
      </c>
      <c r="X47" s="1071"/>
      <c r="Y47" s="1071">
        <f>12600+166400+22000+220000+65000</f>
        <v>486000</v>
      </c>
      <c r="Z47" s="1071"/>
      <c r="AA47" s="1071"/>
      <c r="AB47" s="1071">
        <f>Y47</f>
        <v>486000</v>
      </c>
      <c r="AC47" s="1071">
        <v>0</v>
      </c>
      <c r="AD47" s="1071">
        <f>J47-Y47</f>
        <v>0</v>
      </c>
      <c r="AE47" s="1071"/>
      <c r="AF47" s="1071">
        <v>0</v>
      </c>
      <c r="AG47" s="1071">
        <v>0</v>
      </c>
      <c r="AH47" s="1071"/>
      <c r="AI47" s="1071"/>
      <c r="AJ47" s="1071"/>
      <c r="AK47" s="1071"/>
      <c r="AL47" s="1071"/>
      <c r="AM47" s="1071"/>
      <c r="AN47" s="1149" t="s">
        <v>561</v>
      </c>
      <c r="AO47" s="1072"/>
      <c r="AP47" s="1072"/>
      <c r="AQ47" s="1072"/>
      <c r="AR47" s="1092"/>
      <c r="AS47" s="1092"/>
      <c r="AT47" s="1092"/>
      <c r="AU47" s="1092"/>
      <c r="AV47" s="1092"/>
      <c r="AW47" s="1092"/>
      <c r="AX47" s="1092"/>
      <c r="AY47" s="1092"/>
      <c r="AZ47" s="1092"/>
      <c r="BA47" s="1092"/>
      <c r="BB47" s="1092"/>
      <c r="BC47" s="1092"/>
      <c r="BD47" s="1092"/>
      <c r="BE47" s="1092"/>
      <c r="BF47" s="1092"/>
      <c r="BG47" s="1092"/>
      <c r="BH47" s="1092"/>
      <c r="BI47" s="1092"/>
      <c r="BJ47" s="1092"/>
      <c r="BK47" s="1078"/>
      <c r="BL47" s="1092"/>
      <c r="BM47" s="1092"/>
      <c r="BN47" s="1092"/>
      <c r="BO47" s="1092"/>
      <c r="BP47" s="1092"/>
      <c r="BQ47" s="1092"/>
      <c r="BR47" s="1092"/>
      <c r="BS47" s="1092"/>
      <c r="BT47" s="1092"/>
      <c r="BU47" s="1092"/>
      <c r="BV47" s="1092"/>
      <c r="BW47" s="1110" t="s">
        <v>536</v>
      </c>
      <c r="BX47" s="1080"/>
      <c r="BY47" s="1092"/>
      <c r="BZ47" s="1089"/>
      <c r="CA47" s="1082"/>
      <c r="CB47" s="1092"/>
      <c r="CC47" s="1092"/>
      <c r="CD47" s="1092"/>
      <c r="CE47" s="1092"/>
      <c r="CF47" s="1092"/>
      <c r="CG47" s="1092"/>
      <c r="CH47" s="1092"/>
      <c r="CI47" s="1092"/>
      <c r="CJ47" s="1092"/>
      <c r="CK47" s="1092"/>
      <c r="CL47" s="1092"/>
      <c r="CM47" s="1092"/>
      <c r="CN47" s="1092"/>
      <c r="CO47" s="1092"/>
      <c r="CP47" s="1092"/>
    </row>
    <row r="48" spans="1:94" s="209" customFormat="1" ht="77.25" customHeight="1" x14ac:dyDescent="0.6">
      <c r="A48" s="1069"/>
      <c r="B48" s="1069"/>
      <c r="C48" s="1109" t="s">
        <v>306</v>
      </c>
      <c r="D48" s="1070" t="s">
        <v>374</v>
      </c>
      <c r="E48" s="1094">
        <v>400000</v>
      </c>
      <c r="F48" s="1094">
        <v>0</v>
      </c>
      <c r="G48" s="1094">
        <v>400000</v>
      </c>
      <c r="H48" s="1094">
        <f>400000-13000</f>
        <v>387000</v>
      </c>
      <c r="I48" s="1094">
        <v>0</v>
      </c>
      <c r="J48" s="1094">
        <f>H48</f>
        <v>387000</v>
      </c>
      <c r="K48" s="1249">
        <v>5</v>
      </c>
      <c r="L48" s="1250">
        <v>8</v>
      </c>
      <c r="M48" s="1250"/>
      <c r="N48" s="1250"/>
      <c r="O48" s="1250">
        <v>2</v>
      </c>
      <c r="P48" s="1250"/>
      <c r="Q48" s="1251" t="s">
        <v>185</v>
      </c>
      <c r="R48" s="1251"/>
      <c r="S48" s="1186">
        <f>Y48</f>
        <v>387000</v>
      </c>
      <c r="T48" s="1186">
        <v>0</v>
      </c>
      <c r="U48" s="1186">
        <f t="shared" ref="U48:U50" si="21">S48</f>
        <v>387000</v>
      </c>
      <c r="V48" s="1071">
        <v>0</v>
      </c>
      <c r="W48" s="1071">
        <v>0</v>
      </c>
      <c r="X48" s="1071"/>
      <c r="Y48" s="1071">
        <v>387000</v>
      </c>
      <c r="Z48" s="1071"/>
      <c r="AA48" s="1071"/>
      <c r="AB48" s="1071">
        <f>Y48</f>
        <v>387000</v>
      </c>
      <c r="AC48" s="1071">
        <v>0</v>
      </c>
      <c r="AD48" s="1071">
        <v>0</v>
      </c>
      <c r="AE48" s="1071"/>
      <c r="AF48" s="1071">
        <v>0</v>
      </c>
      <c r="AG48" s="1071">
        <f>J48-Y48</f>
        <v>0</v>
      </c>
      <c r="AH48" s="1071"/>
      <c r="AI48" s="1071">
        <f>13000-AK48</f>
        <v>0</v>
      </c>
      <c r="AJ48" s="1071"/>
      <c r="AK48" s="1071">
        <v>13000</v>
      </c>
      <c r="AL48" s="1071" t="s">
        <v>590</v>
      </c>
      <c r="AM48" s="1071"/>
      <c r="AN48" s="1149" t="s">
        <v>531</v>
      </c>
      <c r="AO48" s="1072"/>
      <c r="AP48" s="1072"/>
      <c r="AQ48" s="1072"/>
      <c r="AR48" s="1092"/>
      <c r="AS48" s="1092"/>
      <c r="AT48" s="1092"/>
      <c r="AU48" s="1092"/>
      <c r="AV48" s="1092"/>
      <c r="AW48" s="1092"/>
      <c r="AX48" s="1092"/>
      <c r="AY48" s="1092"/>
      <c r="AZ48" s="1092"/>
      <c r="BA48" s="1092"/>
      <c r="BB48" s="1092"/>
      <c r="BC48" s="1092"/>
      <c r="BD48" s="1092"/>
      <c r="BE48" s="1092"/>
      <c r="BF48" s="1092"/>
      <c r="BG48" s="1092"/>
      <c r="BH48" s="1092"/>
      <c r="BI48" s="1092"/>
      <c r="BJ48" s="1092"/>
      <c r="BK48" s="1078"/>
      <c r="BL48" s="1092"/>
      <c r="BM48" s="1092"/>
      <c r="BN48" s="1092"/>
      <c r="BO48" s="1092"/>
      <c r="BP48" s="1092"/>
      <c r="BQ48" s="1092"/>
      <c r="BR48" s="1092"/>
      <c r="BS48" s="1092"/>
      <c r="BT48" s="1092"/>
      <c r="BU48" s="1092"/>
      <c r="BV48" s="1092"/>
      <c r="BW48" s="1092"/>
      <c r="BX48" s="1080"/>
      <c r="BY48" s="1092"/>
      <c r="BZ48" s="1062" t="s">
        <v>548</v>
      </c>
      <c r="CA48" s="1082"/>
      <c r="CB48" s="1092"/>
      <c r="CC48" s="1092"/>
      <c r="CD48" s="1092"/>
      <c r="CE48" s="1092"/>
      <c r="CF48" s="1092"/>
      <c r="CG48" s="1092"/>
      <c r="CH48" s="1092"/>
      <c r="CI48" s="1092"/>
      <c r="CJ48" s="1092"/>
      <c r="CK48" s="1092"/>
      <c r="CL48" s="1092"/>
      <c r="CM48" s="1092"/>
      <c r="CN48" s="1092"/>
      <c r="CO48" s="1092"/>
      <c r="CP48" s="1092"/>
    </row>
    <row r="49" spans="1:94" s="209" customFormat="1" ht="87" customHeight="1" x14ac:dyDescent="0.6">
      <c r="A49" s="1069"/>
      <c r="B49" s="1069"/>
      <c r="C49" s="1109" t="s">
        <v>669</v>
      </c>
      <c r="D49" s="1070" t="s">
        <v>374</v>
      </c>
      <c r="E49" s="1094">
        <v>2500000</v>
      </c>
      <c r="F49" s="1094">
        <v>0</v>
      </c>
      <c r="G49" s="1094">
        <v>2500000</v>
      </c>
      <c r="H49" s="1094">
        <f>2500000-50000</f>
        <v>2450000</v>
      </c>
      <c r="I49" s="1094">
        <v>0</v>
      </c>
      <c r="J49" s="1094">
        <f>H49</f>
        <v>2450000</v>
      </c>
      <c r="K49" s="1249">
        <v>11</v>
      </c>
      <c r="L49" s="1250">
        <v>12</v>
      </c>
      <c r="M49" s="1250"/>
      <c r="N49" s="1250"/>
      <c r="O49" s="1250">
        <v>14</v>
      </c>
      <c r="P49" s="1250"/>
      <c r="Q49" s="1251" t="s">
        <v>185</v>
      </c>
      <c r="R49" s="1251"/>
      <c r="S49" s="1186">
        <f>Y49</f>
        <v>2450000</v>
      </c>
      <c r="T49" s="1186">
        <v>0</v>
      </c>
      <c r="U49" s="1186">
        <f t="shared" si="21"/>
        <v>2450000</v>
      </c>
      <c r="V49" s="1071">
        <v>0</v>
      </c>
      <c r="W49" s="1071">
        <v>50000</v>
      </c>
      <c r="X49" s="1071"/>
      <c r="Y49" s="1071">
        <v>2450000</v>
      </c>
      <c r="Z49" s="1071"/>
      <c r="AA49" s="1071"/>
      <c r="AB49" s="1071">
        <f>Y49</f>
        <v>2450000</v>
      </c>
      <c r="AC49" s="1071">
        <v>0</v>
      </c>
      <c r="AD49" s="1071">
        <v>0</v>
      </c>
      <c r="AE49" s="1071"/>
      <c r="AF49" s="1071">
        <v>0</v>
      </c>
      <c r="AG49" s="1071">
        <f>J49-Y49</f>
        <v>0</v>
      </c>
      <c r="AH49" s="1071"/>
      <c r="AI49" s="1071">
        <f>50000-AK49</f>
        <v>0</v>
      </c>
      <c r="AJ49" s="1071"/>
      <c r="AK49" s="1071">
        <v>50000</v>
      </c>
      <c r="AL49" s="1071" t="s">
        <v>588</v>
      </c>
      <c r="AM49" s="1071"/>
      <c r="AN49" s="1149" t="s">
        <v>798</v>
      </c>
      <c r="AO49" s="1072"/>
      <c r="AP49" s="1072"/>
      <c r="AQ49" s="1072"/>
      <c r="AR49" s="1092"/>
      <c r="AS49" s="1092"/>
      <c r="AT49" s="1092"/>
      <c r="AU49" s="1092"/>
      <c r="AV49" s="1092"/>
      <c r="AW49" s="1092"/>
      <c r="AX49" s="1092"/>
      <c r="AY49" s="1092"/>
      <c r="AZ49" s="1092"/>
      <c r="BA49" s="1092"/>
      <c r="BB49" s="1092"/>
      <c r="BC49" s="1092"/>
      <c r="BD49" s="1092"/>
      <c r="BE49" s="1092"/>
      <c r="BF49" s="1092"/>
      <c r="BG49" s="1092"/>
      <c r="BH49" s="1092"/>
      <c r="BI49" s="1092"/>
      <c r="BJ49" s="1092"/>
      <c r="BK49" s="1078"/>
      <c r="BL49" s="1092"/>
      <c r="BM49" s="1092"/>
      <c r="BN49" s="1092"/>
      <c r="BO49" s="1092"/>
      <c r="BP49" s="1092"/>
      <c r="BQ49" s="1092"/>
      <c r="BR49" s="1092"/>
      <c r="BS49" s="1092"/>
      <c r="BT49" s="1092"/>
      <c r="BU49" s="1092"/>
      <c r="BV49" s="1092"/>
      <c r="BW49" s="1092"/>
      <c r="BX49" s="1080"/>
      <c r="BY49" s="1092"/>
      <c r="BZ49" s="1089"/>
      <c r="CA49" s="1082"/>
      <c r="CB49" s="1092"/>
      <c r="CC49" s="1092"/>
      <c r="CD49" s="1092"/>
      <c r="CE49" s="1092"/>
      <c r="CF49" s="1092"/>
      <c r="CG49" s="1092"/>
      <c r="CH49" s="1092"/>
      <c r="CI49" s="1092"/>
      <c r="CJ49" s="1092"/>
      <c r="CK49" s="1092"/>
      <c r="CL49" s="1092"/>
      <c r="CM49" s="1092"/>
      <c r="CN49" s="1092"/>
      <c r="CO49" s="1092"/>
      <c r="CP49" s="1092"/>
    </row>
    <row r="50" spans="1:94" s="209" customFormat="1" ht="102.75" customHeight="1" x14ac:dyDescent="0.6">
      <c r="A50" s="1069"/>
      <c r="B50" s="1069"/>
      <c r="C50" s="1109" t="s">
        <v>308</v>
      </c>
      <c r="D50" s="1070" t="s">
        <v>374</v>
      </c>
      <c r="E50" s="1094">
        <v>500000</v>
      </c>
      <c r="F50" s="1094">
        <v>0</v>
      </c>
      <c r="G50" s="1094">
        <f>E50+F50</f>
        <v>500000</v>
      </c>
      <c r="H50" s="1094">
        <v>500000</v>
      </c>
      <c r="I50" s="1094">
        <v>0</v>
      </c>
      <c r="J50" s="1094">
        <f t="shared" si="20"/>
        <v>500000</v>
      </c>
      <c r="K50" s="1249">
        <v>2</v>
      </c>
      <c r="L50" s="1250">
        <v>3</v>
      </c>
      <c r="M50" s="1250"/>
      <c r="N50" s="1250"/>
      <c r="O50" s="1250">
        <v>14</v>
      </c>
      <c r="P50" s="1250"/>
      <c r="Q50" s="1251" t="s">
        <v>185</v>
      </c>
      <c r="R50" s="1251"/>
      <c r="S50" s="1186">
        <f>Y50</f>
        <v>500000</v>
      </c>
      <c r="T50" s="1186">
        <v>0</v>
      </c>
      <c r="U50" s="1186">
        <f t="shared" si="21"/>
        <v>500000</v>
      </c>
      <c r="V50" s="1071">
        <v>0</v>
      </c>
      <c r="W50" s="1071">
        <v>0</v>
      </c>
      <c r="X50" s="1071"/>
      <c r="Y50" s="1071">
        <v>500000</v>
      </c>
      <c r="Z50" s="1071"/>
      <c r="AA50" s="1071"/>
      <c r="AB50" s="1071">
        <f>Y50</f>
        <v>500000</v>
      </c>
      <c r="AC50" s="1071">
        <v>0</v>
      </c>
      <c r="AD50" s="1071">
        <v>0</v>
      </c>
      <c r="AE50" s="1071"/>
      <c r="AF50" s="1071">
        <v>0</v>
      </c>
      <c r="AG50" s="1071">
        <v>0</v>
      </c>
      <c r="AH50" s="1071"/>
      <c r="AI50" s="1071"/>
      <c r="AJ50" s="1071"/>
      <c r="AK50" s="1071"/>
      <c r="AL50" s="1071"/>
      <c r="AM50" s="1071"/>
      <c r="AN50" s="1149" t="s">
        <v>799</v>
      </c>
      <c r="AO50" s="1072"/>
      <c r="AP50" s="1072"/>
      <c r="AQ50" s="1072"/>
      <c r="AR50" s="1092"/>
      <c r="AS50" s="1092"/>
      <c r="AT50" s="1092"/>
      <c r="AU50" s="1092"/>
      <c r="AV50" s="1092"/>
      <c r="AW50" s="1092"/>
      <c r="AX50" s="1150" t="s">
        <v>468</v>
      </c>
      <c r="AY50" s="1092"/>
      <c r="AZ50" s="1092"/>
      <c r="BA50" s="1092"/>
      <c r="BB50" s="1092"/>
      <c r="BC50" s="1092"/>
      <c r="BD50" s="1092"/>
      <c r="BE50" s="1092"/>
      <c r="BF50" s="1092"/>
      <c r="BG50" s="1092"/>
      <c r="BH50" s="1092"/>
      <c r="BI50" s="1092"/>
      <c r="BJ50" s="1092"/>
      <c r="BK50" s="1078"/>
      <c r="BL50" s="1092"/>
      <c r="BM50" s="1092"/>
      <c r="BN50" s="1092"/>
      <c r="BO50" s="1092"/>
      <c r="BP50" s="1092"/>
      <c r="BQ50" s="1092"/>
      <c r="BR50" s="1092"/>
      <c r="BS50" s="1092"/>
      <c r="BT50" s="1092"/>
      <c r="BU50" s="1092"/>
      <c r="BV50" s="1092"/>
      <c r="BW50" s="1092"/>
      <c r="BX50" s="1080"/>
      <c r="BY50" s="1092"/>
      <c r="BZ50" s="1089"/>
      <c r="CA50" s="1082"/>
      <c r="CB50" s="1092"/>
      <c r="CC50" s="1092"/>
      <c r="CD50" s="1092"/>
      <c r="CE50" s="1092"/>
      <c r="CF50" s="1092"/>
      <c r="CG50" s="1092"/>
      <c r="CH50" s="1092"/>
      <c r="CI50" s="1092"/>
      <c r="CJ50" s="1092"/>
      <c r="CK50" s="1092"/>
      <c r="CL50" s="1092"/>
      <c r="CM50" s="1092"/>
      <c r="CN50" s="1092"/>
      <c r="CO50" s="1092"/>
      <c r="CP50" s="1092"/>
    </row>
    <row r="51" spans="1:94" s="827" customFormat="1" ht="69.75" customHeight="1" x14ac:dyDescent="0.6">
      <c r="A51" s="1069"/>
      <c r="B51" s="1069"/>
      <c r="C51" s="1109" t="s">
        <v>488</v>
      </c>
      <c r="D51" s="1070" t="s">
        <v>374</v>
      </c>
      <c r="E51" s="1094">
        <f>E52+E53+E54+E55</f>
        <v>1150000</v>
      </c>
      <c r="F51" s="1094">
        <v>0</v>
      </c>
      <c r="G51" s="1094">
        <f>G52+G53+G54+G55</f>
        <v>1150000</v>
      </c>
      <c r="H51" s="1094">
        <f>H52+H53+H54+H55</f>
        <v>1115000</v>
      </c>
      <c r="I51" s="1094">
        <v>0</v>
      </c>
      <c r="J51" s="1094">
        <f>J52+J53+J54+J55</f>
        <v>1115000</v>
      </c>
      <c r="K51" s="1249"/>
      <c r="L51" s="1250"/>
      <c r="M51" s="1250"/>
      <c r="N51" s="1250"/>
      <c r="O51" s="1250"/>
      <c r="P51" s="1250"/>
      <c r="Q51" s="1251"/>
      <c r="R51" s="1251"/>
      <c r="S51" s="1180">
        <f>S52+S53+S54+S55</f>
        <v>1105900</v>
      </c>
      <c r="T51" s="1180">
        <f>T52+T53+T54+T55</f>
        <v>0</v>
      </c>
      <c r="U51" s="1180">
        <f>U52+U53+U54+U55</f>
        <v>1105900</v>
      </c>
      <c r="V51" s="1071">
        <v>686280</v>
      </c>
      <c r="W51" s="1071">
        <f>W52+W53+W54+W55</f>
        <v>0</v>
      </c>
      <c r="X51" s="1071"/>
      <c r="Y51" s="1071">
        <f>Y52+Y53+Y54+Y55</f>
        <v>984900</v>
      </c>
      <c r="Z51" s="1071"/>
      <c r="AA51" s="1071"/>
      <c r="AB51" s="1071">
        <f>AB52+AB53+AB54+AB55</f>
        <v>984900</v>
      </c>
      <c r="AC51" s="1071">
        <f>AC52+AC53+AC54+AC55</f>
        <v>0</v>
      </c>
      <c r="AD51" s="1071">
        <f>AD52+AD53+AD54+AD55</f>
        <v>0</v>
      </c>
      <c r="AE51" s="1071"/>
      <c r="AF51" s="1071">
        <f>AF52+AF53+AF54+AF55</f>
        <v>121000</v>
      </c>
      <c r="AG51" s="1071">
        <f>AG52+AG53+AG54+AG55</f>
        <v>9100</v>
      </c>
      <c r="AH51" s="1071"/>
      <c r="AI51" s="1071">
        <f>AI52+AI53+AI54+AI55</f>
        <v>9100</v>
      </c>
      <c r="AJ51" s="1071"/>
      <c r="AK51" s="1071">
        <v>35000</v>
      </c>
      <c r="AL51" s="1071" t="s">
        <v>589</v>
      </c>
      <c r="AM51" s="1071"/>
      <c r="AN51" s="1252"/>
      <c r="AO51" s="1072"/>
      <c r="AP51" s="1072"/>
      <c r="AQ51" s="1072"/>
      <c r="AR51" s="1092"/>
      <c r="AS51" s="1092"/>
      <c r="AT51" s="1092"/>
      <c r="AU51" s="1092"/>
      <c r="AV51" s="1092"/>
      <c r="AW51" s="1092"/>
      <c r="AX51" s="1092"/>
      <c r="AY51" s="1092"/>
      <c r="AZ51" s="1092"/>
      <c r="BA51" s="1092"/>
      <c r="BB51" s="1092"/>
      <c r="BC51" s="1092"/>
      <c r="BD51" s="1092"/>
      <c r="BE51" s="1092"/>
      <c r="BF51" s="1092"/>
      <c r="BG51" s="1092"/>
      <c r="BH51" s="1092"/>
      <c r="BI51" s="1092"/>
      <c r="BJ51" s="1092"/>
      <c r="BK51" s="1078"/>
      <c r="BL51" s="1092"/>
      <c r="BM51" s="1092"/>
      <c r="BN51" s="1092"/>
      <c r="BO51" s="1092"/>
      <c r="BP51" s="1092"/>
      <c r="BQ51" s="1092"/>
      <c r="BR51" s="1092"/>
      <c r="BS51" s="1092"/>
      <c r="BT51" s="1092"/>
      <c r="BU51" s="1092"/>
      <c r="BV51" s="1092"/>
      <c r="BW51" s="1092"/>
      <c r="BX51" s="1080"/>
      <c r="BY51" s="1092"/>
      <c r="BZ51" s="1089"/>
      <c r="CA51" s="1082"/>
      <c r="CB51" s="1092"/>
      <c r="CC51" s="1092"/>
      <c r="CD51" s="1092"/>
      <c r="CE51" s="1092"/>
      <c r="CF51" s="1092"/>
      <c r="CG51" s="1092"/>
      <c r="CH51" s="1092"/>
      <c r="CI51" s="1092"/>
      <c r="CJ51" s="1092"/>
      <c r="CK51" s="1092"/>
      <c r="CL51" s="1092"/>
      <c r="CM51" s="1092"/>
      <c r="CN51" s="1092"/>
      <c r="CO51" s="1092"/>
      <c r="CP51" s="1092"/>
    </row>
    <row r="52" spans="1:94" s="209" customFormat="1" ht="101.25" customHeight="1" x14ac:dyDescent="0.6">
      <c r="A52" s="1069"/>
      <c r="B52" s="1069"/>
      <c r="C52" s="1109" t="s">
        <v>309</v>
      </c>
      <c r="D52" s="1070" t="s">
        <v>374</v>
      </c>
      <c r="E52" s="1094">
        <f>220000</f>
        <v>220000</v>
      </c>
      <c r="F52" s="1094">
        <v>0</v>
      </c>
      <c r="G52" s="1094">
        <f>E52+F52</f>
        <v>220000</v>
      </c>
      <c r="H52" s="1094">
        <f>220000</f>
        <v>220000</v>
      </c>
      <c r="I52" s="1094">
        <v>0</v>
      </c>
      <c r="J52" s="1094">
        <f t="shared" si="20"/>
        <v>220000</v>
      </c>
      <c r="K52" s="1249">
        <v>10</v>
      </c>
      <c r="L52" s="1250">
        <v>12</v>
      </c>
      <c r="M52" s="1250"/>
      <c r="N52" s="1250"/>
      <c r="O52" s="1250">
        <v>3</v>
      </c>
      <c r="P52" s="1250"/>
      <c r="Q52" s="1251" t="s">
        <v>185</v>
      </c>
      <c r="R52" s="1251"/>
      <c r="S52" s="1186">
        <f>89900+121000</f>
        <v>210900</v>
      </c>
      <c r="T52" s="1186">
        <v>0</v>
      </c>
      <c r="U52" s="1186">
        <f>S52</f>
        <v>210900</v>
      </c>
      <c r="V52" s="1071">
        <v>0</v>
      </c>
      <c r="W52" s="1071">
        <v>0</v>
      </c>
      <c r="X52" s="1071"/>
      <c r="Y52" s="1071">
        <v>89900</v>
      </c>
      <c r="Z52" s="1071"/>
      <c r="AA52" s="1071"/>
      <c r="AB52" s="1071">
        <v>89900</v>
      </c>
      <c r="AC52" s="1071">
        <v>0</v>
      </c>
      <c r="AD52" s="1071">
        <v>0</v>
      </c>
      <c r="AE52" s="1071"/>
      <c r="AF52" s="1071">
        <v>121000</v>
      </c>
      <c r="AG52" s="1071">
        <v>9100</v>
      </c>
      <c r="AH52" s="1071"/>
      <c r="AI52" s="1071">
        <v>9100</v>
      </c>
      <c r="AJ52" s="1071"/>
      <c r="AK52" s="1071"/>
      <c r="AL52" s="1071"/>
      <c r="AM52" s="1071"/>
      <c r="AN52" s="1149" t="s">
        <v>746</v>
      </c>
      <c r="AO52" s="1072"/>
      <c r="AP52" s="1072"/>
      <c r="AQ52" s="1072"/>
      <c r="AR52" s="1092"/>
      <c r="AS52" s="1092"/>
      <c r="AT52" s="1092"/>
      <c r="AU52" s="1151" t="s">
        <v>453</v>
      </c>
      <c r="AV52" s="1151"/>
      <c r="AW52" s="1092"/>
      <c r="AX52" s="1092"/>
      <c r="AY52" s="1092"/>
      <c r="AZ52" s="1092"/>
      <c r="BA52" s="1092"/>
      <c r="BB52" s="1092"/>
      <c r="BC52" s="1092"/>
      <c r="BD52" s="1092"/>
      <c r="BE52" s="1092"/>
      <c r="BF52" s="1092"/>
      <c r="BG52" s="1092"/>
      <c r="BH52" s="1092"/>
      <c r="BI52" s="1092"/>
      <c r="BJ52" s="1092"/>
      <c r="BK52" s="1078"/>
      <c r="BL52" s="1092" t="s">
        <v>506</v>
      </c>
      <c r="BM52" s="1092"/>
      <c r="BN52" s="1092"/>
      <c r="BO52" s="1092"/>
      <c r="BP52" s="1092"/>
      <c r="BQ52" s="1092"/>
      <c r="BR52" s="1092"/>
      <c r="BS52" s="1092"/>
      <c r="BT52" s="1092"/>
      <c r="BU52" s="1092"/>
      <c r="BV52" s="1092"/>
      <c r="BW52" s="1092"/>
      <c r="BX52" s="1080"/>
      <c r="BY52" s="1092"/>
      <c r="BZ52" s="1089"/>
      <c r="CA52" s="1152"/>
      <c r="CB52" s="1092"/>
      <c r="CC52" s="1092"/>
      <c r="CD52" s="1092"/>
      <c r="CE52" s="1092"/>
      <c r="CF52" s="1092"/>
      <c r="CG52" s="1092"/>
      <c r="CH52" s="1092"/>
      <c r="CI52" s="1092"/>
      <c r="CJ52" s="1092"/>
      <c r="CK52" s="1092"/>
      <c r="CL52" s="1092"/>
      <c r="CM52" s="1092"/>
      <c r="CN52" s="1092"/>
      <c r="CO52" s="1092"/>
      <c r="CP52" s="1092"/>
    </row>
    <row r="53" spans="1:94" s="209" customFormat="1" ht="72" customHeight="1" x14ac:dyDescent="0.6">
      <c r="A53" s="1069"/>
      <c r="B53" s="1069"/>
      <c r="C53" s="1109" t="s">
        <v>580</v>
      </c>
      <c r="D53" s="1070" t="s">
        <v>374</v>
      </c>
      <c r="E53" s="1094">
        <v>440000</v>
      </c>
      <c r="F53" s="1094">
        <v>0</v>
      </c>
      <c r="G53" s="1094">
        <f>E53+F53</f>
        <v>440000</v>
      </c>
      <c r="H53" s="1094">
        <v>440000</v>
      </c>
      <c r="I53" s="1094">
        <v>0</v>
      </c>
      <c r="J53" s="1094">
        <f t="shared" si="20"/>
        <v>440000</v>
      </c>
      <c r="K53" s="1249">
        <v>1</v>
      </c>
      <c r="L53" s="1250">
        <v>3</v>
      </c>
      <c r="M53" s="1250"/>
      <c r="N53" s="1250"/>
      <c r="O53" s="1250">
        <v>2</v>
      </c>
      <c r="P53" s="1250"/>
      <c r="Q53" s="1251" t="s">
        <v>185</v>
      </c>
      <c r="R53" s="1251"/>
      <c r="S53" s="1186">
        <v>440000</v>
      </c>
      <c r="T53" s="1186">
        <v>0</v>
      </c>
      <c r="U53" s="1186">
        <v>440000</v>
      </c>
      <c r="V53" s="1071">
        <v>0</v>
      </c>
      <c r="W53" s="1071">
        <v>0</v>
      </c>
      <c r="X53" s="1071"/>
      <c r="Y53" s="1071">
        <v>440000</v>
      </c>
      <c r="Z53" s="1071"/>
      <c r="AA53" s="1071"/>
      <c r="AB53" s="1071">
        <v>440000</v>
      </c>
      <c r="AC53" s="1071">
        <v>0</v>
      </c>
      <c r="AD53" s="1071">
        <v>0</v>
      </c>
      <c r="AE53" s="1071"/>
      <c r="AF53" s="1071">
        <v>0</v>
      </c>
      <c r="AG53" s="1071"/>
      <c r="AH53" s="1071"/>
      <c r="AI53" s="1071"/>
      <c r="AJ53" s="1071"/>
      <c r="AK53" s="1071"/>
      <c r="AL53" s="1071"/>
      <c r="AM53" s="1071"/>
      <c r="AN53" s="1149" t="s">
        <v>747</v>
      </c>
      <c r="AO53" s="1072"/>
      <c r="AP53" s="1072"/>
      <c r="AQ53" s="1072"/>
      <c r="AR53" s="1092"/>
      <c r="AS53" s="1092"/>
      <c r="AT53" s="1092"/>
      <c r="AU53" s="1092"/>
      <c r="AV53" s="1092"/>
      <c r="AW53" s="1092"/>
      <c r="AX53" s="1092"/>
      <c r="AY53" s="1092"/>
      <c r="AZ53" s="1092"/>
      <c r="BA53" s="1092"/>
      <c r="BB53" s="1092"/>
      <c r="BC53" s="1092"/>
      <c r="BD53" s="1092"/>
      <c r="BE53" s="1092"/>
      <c r="BF53" s="1092"/>
      <c r="BG53" s="1092"/>
      <c r="BH53" s="1092"/>
      <c r="BI53" s="1092"/>
      <c r="BJ53" s="1092"/>
      <c r="BK53" s="1078"/>
      <c r="BL53" s="1092"/>
      <c r="BM53" s="1092"/>
      <c r="BN53" s="1092"/>
      <c r="BO53" s="1092"/>
      <c r="BP53" s="1092"/>
      <c r="BQ53" s="1092"/>
      <c r="BR53" s="1092"/>
      <c r="BS53" s="1092"/>
      <c r="BT53" s="1092"/>
      <c r="BU53" s="1092"/>
      <c r="BV53" s="1092"/>
      <c r="BW53" s="1092"/>
      <c r="BX53" s="1080"/>
      <c r="BY53" s="1092"/>
      <c r="BZ53" s="1089"/>
      <c r="CA53" s="1153"/>
      <c r="CB53" s="1092"/>
      <c r="CC53" s="1092"/>
      <c r="CD53" s="1092"/>
      <c r="CE53" s="1092"/>
      <c r="CF53" s="1092"/>
      <c r="CG53" s="1092"/>
      <c r="CH53" s="1092"/>
      <c r="CI53" s="1092"/>
      <c r="CJ53" s="1092"/>
      <c r="CK53" s="1092"/>
      <c r="CL53" s="1092"/>
      <c r="CM53" s="1092"/>
      <c r="CN53" s="1092"/>
      <c r="CO53" s="1092"/>
      <c r="CP53" s="1092"/>
    </row>
    <row r="54" spans="1:94" s="209" customFormat="1" ht="72.75" customHeight="1" x14ac:dyDescent="0.6">
      <c r="A54" s="1069"/>
      <c r="B54" s="1069"/>
      <c r="C54" s="1109" t="s">
        <v>436</v>
      </c>
      <c r="D54" s="1070" t="s">
        <v>374</v>
      </c>
      <c r="E54" s="1094">
        <v>330000</v>
      </c>
      <c r="F54" s="1094">
        <v>0</v>
      </c>
      <c r="G54" s="1094">
        <v>330000</v>
      </c>
      <c r="H54" s="1094">
        <f>330000-35000</f>
        <v>295000</v>
      </c>
      <c r="I54" s="1094">
        <v>0</v>
      </c>
      <c r="J54" s="1094">
        <v>295000</v>
      </c>
      <c r="K54" s="1249">
        <v>4</v>
      </c>
      <c r="L54" s="1250">
        <v>6</v>
      </c>
      <c r="M54" s="1250"/>
      <c r="N54" s="1250"/>
      <c r="O54" s="1250">
        <v>2</v>
      </c>
      <c r="P54" s="1250"/>
      <c r="Q54" s="1251" t="s">
        <v>185</v>
      </c>
      <c r="R54" s="1251"/>
      <c r="S54" s="1186">
        <v>295000</v>
      </c>
      <c r="T54" s="1186">
        <v>0</v>
      </c>
      <c r="U54" s="1186">
        <f t="shared" ref="U54:U55" si="22">S54</f>
        <v>295000</v>
      </c>
      <c r="V54" s="1071">
        <v>330000</v>
      </c>
      <c r="W54" s="1071">
        <v>0</v>
      </c>
      <c r="X54" s="1071"/>
      <c r="Y54" s="1071">
        <v>295000</v>
      </c>
      <c r="Z54" s="1071"/>
      <c r="AA54" s="1071"/>
      <c r="AB54" s="1071">
        <v>295000</v>
      </c>
      <c r="AC54" s="1071">
        <v>0</v>
      </c>
      <c r="AD54" s="1071">
        <v>0</v>
      </c>
      <c r="AE54" s="1071"/>
      <c r="AF54" s="1071">
        <v>0</v>
      </c>
      <c r="AG54" s="1071"/>
      <c r="AH54" s="1071"/>
      <c r="AI54" s="1071">
        <v>0</v>
      </c>
      <c r="AJ54" s="1071"/>
      <c r="AK54" s="1071">
        <v>35000</v>
      </c>
      <c r="AL54" s="1071"/>
      <c r="AM54" s="1071"/>
      <c r="AN54" s="1149" t="s">
        <v>747</v>
      </c>
      <c r="AO54" s="1072"/>
      <c r="AP54" s="1072"/>
      <c r="AQ54" s="1072"/>
      <c r="AR54" s="1092"/>
      <c r="AS54" s="1092"/>
      <c r="AT54" s="1092"/>
      <c r="AU54" s="1092"/>
      <c r="AV54" s="1092"/>
      <c r="AW54" s="1092"/>
      <c r="AX54" s="1092"/>
      <c r="AY54" s="1092"/>
      <c r="AZ54" s="1092"/>
      <c r="BA54" s="1092"/>
      <c r="BB54" s="1092"/>
      <c r="BC54" s="1092"/>
      <c r="BD54" s="1092"/>
      <c r="BE54" s="1092"/>
      <c r="BF54" s="1092"/>
      <c r="BG54" s="1092"/>
      <c r="BH54" s="1092"/>
      <c r="BI54" s="1092"/>
      <c r="BJ54" s="1092"/>
      <c r="BK54" s="1078"/>
      <c r="BL54" s="1092"/>
      <c r="BM54" s="1092"/>
      <c r="BN54" s="1092"/>
      <c r="BO54" s="1092"/>
      <c r="BP54" s="1092"/>
      <c r="BQ54" s="1092"/>
      <c r="BR54" s="1092"/>
      <c r="BS54" s="1092"/>
      <c r="BT54" s="1092"/>
      <c r="BU54" s="1092"/>
      <c r="BV54" s="1092"/>
      <c r="BW54" s="1092"/>
      <c r="BX54" s="1080"/>
      <c r="BY54" s="1092"/>
      <c r="BZ54" s="1089"/>
      <c r="CA54" s="1082"/>
      <c r="CB54" s="1092"/>
      <c r="CC54" s="1092"/>
      <c r="CD54" s="1092"/>
      <c r="CE54" s="1092"/>
      <c r="CF54" s="1092"/>
      <c r="CG54" s="1092"/>
      <c r="CH54" s="1092"/>
      <c r="CI54" s="1092"/>
      <c r="CJ54" s="1092"/>
      <c r="CK54" s="1092"/>
      <c r="CL54" s="1092"/>
      <c r="CM54" s="1092"/>
      <c r="CN54" s="1092"/>
      <c r="CO54" s="1092"/>
      <c r="CP54" s="1092"/>
    </row>
    <row r="55" spans="1:94" s="209" customFormat="1" ht="184.5" customHeight="1" x14ac:dyDescent="0.6">
      <c r="A55" s="1069"/>
      <c r="B55" s="1069"/>
      <c r="C55" s="1109" t="s">
        <v>311</v>
      </c>
      <c r="D55" s="1070" t="s">
        <v>374</v>
      </c>
      <c r="E55" s="1094">
        <v>160000</v>
      </c>
      <c r="F55" s="1094">
        <v>0</v>
      </c>
      <c r="G55" s="1094">
        <f>E55+F55</f>
        <v>160000</v>
      </c>
      <c r="H55" s="1094">
        <v>160000</v>
      </c>
      <c r="I55" s="1094">
        <v>0</v>
      </c>
      <c r="J55" s="1094">
        <f t="shared" si="20"/>
        <v>160000</v>
      </c>
      <c r="K55" s="1249">
        <v>1</v>
      </c>
      <c r="L55" s="1250">
        <v>3</v>
      </c>
      <c r="M55" s="1250"/>
      <c r="N55" s="1250"/>
      <c r="O55" s="1250">
        <v>2</v>
      </c>
      <c r="P55" s="1250"/>
      <c r="Q55" s="1251" t="s">
        <v>185</v>
      </c>
      <c r="R55" s="1251"/>
      <c r="S55" s="1186">
        <f>Y55</f>
        <v>160000</v>
      </c>
      <c r="T55" s="1186">
        <v>0</v>
      </c>
      <c r="U55" s="1186">
        <f t="shared" si="22"/>
        <v>160000</v>
      </c>
      <c r="V55" s="1071">
        <v>0</v>
      </c>
      <c r="W55" s="1071">
        <v>0</v>
      </c>
      <c r="X55" s="1071"/>
      <c r="Y55" s="1071">
        <f>147400+12600</f>
        <v>160000</v>
      </c>
      <c r="Z55" s="1071"/>
      <c r="AA55" s="1071"/>
      <c r="AB55" s="1071">
        <f>Y55</f>
        <v>160000</v>
      </c>
      <c r="AC55" s="1071">
        <v>0</v>
      </c>
      <c r="AD55" s="1071">
        <v>0</v>
      </c>
      <c r="AE55" s="1071"/>
      <c r="AF55" s="1071">
        <v>0</v>
      </c>
      <c r="AG55" s="1071"/>
      <c r="AH55" s="1071"/>
      <c r="AI55" s="1071"/>
      <c r="AJ55" s="1071"/>
      <c r="AK55" s="1071"/>
      <c r="AL55" s="1071"/>
      <c r="AM55" s="1071"/>
      <c r="AN55" s="1149" t="s">
        <v>748</v>
      </c>
      <c r="AO55" s="1072"/>
      <c r="AP55" s="1072"/>
      <c r="AQ55" s="1072"/>
      <c r="AR55" s="1092"/>
      <c r="AS55" s="1092"/>
      <c r="AT55" s="1092"/>
      <c r="AU55" s="1092"/>
      <c r="AV55" s="1092"/>
      <c r="AW55" s="1092"/>
      <c r="AX55" s="1092"/>
      <c r="AY55" s="1092"/>
      <c r="AZ55" s="1092"/>
      <c r="BA55" s="1092"/>
      <c r="BB55" s="1092"/>
      <c r="BC55" s="1092"/>
      <c r="BD55" s="1092"/>
      <c r="BE55" s="1092"/>
      <c r="BF55" s="1092"/>
      <c r="BG55" s="1092"/>
      <c r="BH55" s="1092"/>
      <c r="BI55" s="1092"/>
      <c r="BJ55" s="1092"/>
      <c r="BK55" s="1078"/>
      <c r="BL55" s="1092"/>
      <c r="BM55" s="1092"/>
      <c r="BN55" s="1092"/>
      <c r="BO55" s="1092"/>
      <c r="BP55" s="1092"/>
      <c r="BQ55" s="1092"/>
      <c r="BR55" s="1092"/>
      <c r="BS55" s="1092"/>
      <c r="BT55" s="1092"/>
      <c r="BU55" s="1092"/>
      <c r="BV55" s="1092"/>
      <c r="BW55" s="1092"/>
      <c r="BX55" s="1080"/>
      <c r="BY55" s="1092"/>
      <c r="BZ55" s="1089"/>
      <c r="CA55" s="1082"/>
      <c r="CB55" s="1092"/>
      <c r="CC55" s="1092"/>
      <c r="CD55" s="1092"/>
      <c r="CE55" s="1092"/>
      <c r="CF55" s="1092"/>
      <c r="CG55" s="1092"/>
      <c r="CH55" s="1092"/>
      <c r="CI55" s="1092"/>
      <c r="CJ55" s="1092"/>
      <c r="CK55" s="1092"/>
      <c r="CL55" s="1092"/>
      <c r="CM55" s="1092"/>
      <c r="CN55" s="1092"/>
      <c r="CO55" s="1092"/>
      <c r="CP55" s="1092"/>
    </row>
    <row r="56" spans="1:94" s="603" customFormat="1" ht="42" x14ac:dyDescent="0.6">
      <c r="A56" s="1083">
        <v>11</v>
      </c>
      <c r="B56" s="1083"/>
      <c r="C56" s="1084" t="s">
        <v>571</v>
      </c>
      <c r="D56" s="1085" t="s">
        <v>279</v>
      </c>
      <c r="E56" s="1147">
        <f t="shared" ref="E56:J56" si="23">SUM(E57:E57)</f>
        <v>0</v>
      </c>
      <c r="F56" s="1147">
        <f t="shared" si="23"/>
        <v>42000000</v>
      </c>
      <c r="G56" s="1147">
        <f t="shared" si="23"/>
        <v>42000000</v>
      </c>
      <c r="H56" s="1147">
        <f t="shared" si="23"/>
        <v>0</v>
      </c>
      <c r="I56" s="1147">
        <f t="shared" si="23"/>
        <v>41990000</v>
      </c>
      <c r="J56" s="1147">
        <f t="shared" si="23"/>
        <v>41990000</v>
      </c>
      <c r="K56" s="1177"/>
      <c r="L56" s="1178"/>
      <c r="M56" s="1178"/>
      <c r="N56" s="1178"/>
      <c r="O56" s="1178"/>
      <c r="P56" s="1178"/>
      <c r="Q56" s="1179"/>
      <c r="R56" s="1179"/>
      <c r="S56" s="1180">
        <f>S57</f>
        <v>0</v>
      </c>
      <c r="T56" s="1180">
        <f>T57</f>
        <v>41990000</v>
      </c>
      <c r="U56" s="1180">
        <f>T56</f>
        <v>41990000</v>
      </c>
      <c r="V56" s="1086">
        <f>SUM(V57:V57)</f>
        <v>39143078</v>
      </c>
      <c r="W56" s="1086">
        <f>SUM(W57:W57)</f>
        <v>10000</v>
      </c>
      <c r="X56" s="1086"/>
      <c r="Y56" s="1086">
        <v>12731368</v>
      </c>
      <c r="Z56" s="1086"/>
      <c r="AA56" s="1086"/>
      <c r="AB56" s="1086">
        <f>AB57</f>
        <v>0</v>
      </c>
      <c r="AC56" s="1086">
        <f>AC57</f>
        <v>12731368</v>
      </c>
      <c r="AD56" s="1086">
        <v>0</v>
      </c>
      <c r="AE56" s="1086"/>
      <c r="AF56" s="1086">
        <f>SUM(AF57:AF57)</f>
        <v>29258632</v>
      </c>
      <c r="AG56" s="1086">
        <v>0</v>
      </c>
      <c r="AH56" s="1086"/>
      <c r="AI56" s="1086">
        <v>0</v>
      </c>
      <c r="AJ56" s="1086"/>
      <c r="AK56" s="1086"/>
      <c r="AL56" s="1086"/>
      <c r="AM56" s="1086"/>
      <c r="AN56" s="1087"/>
      <c r="AO56" s="1088"/>
      <c r="AP56" s="1088"/>
      <c r="AQ56" s="1088"/>
      <c r="AR56" s="1092"/>
      <c r="AS56" s="1092"/>
      <c r="AT56" s="1092"/>
      <c r="AU56" s="1092"/>
      <c r="AV56" s="1092"/>
      <c r="AW56" s="1092"/>
      <c r="AX56" s="1092"/>
      <c r="AY56" s="1092"/>
      <c r="AZ56" s="1092"/>
      <c r="BA56" s="1092"/>
      <c r="BB56" s="1092"/>
      <c r="BC56" s="1092"/>
      <c r="BD56" s="1092"/>
      <c r="BE56" s="1092"/>
      <c r="BF56" s="1092"/>
      <c r="BG56" s="1092"/>
      <c r="BH56" s="1092"/>
      <c r="BI56" s="1092"/>
      <c r="BJ56" s="1092"/>
      <c r="BK56" s="1078"/>
      <c r="BL56" s="1092"/>
      <c r="BM56" s="1092"/>
      <c r="BN56" s="1092"/>
      <c r="BO56" s="1092"/>
      <c r="BP56" s="1092"/>
      <c r="BQ56" s="1092"/>
      <c r="BR56" s="1092"/>
      <c r="BS56" s="1092"/>
      <c r="BT56" s="1092"/>
      <c r="BU56" s="1092"/>
      <c r="BV56" s="1092"/>
      <c r="BW56" s="1092"/>
      <c r="BX56" s="1080"/>
      <c r="BY56" s="1092"/>
      <c r="BZ56" s="1089"/>
      <c r="CA56" s="1082"/>
      <c r="CB56" s="1092"/>
      <c r="CC56" s="1092"/>
      <c r="CD56" s="1092"/>
      <c r="CE56" s="1092"/>
      <c r="CF56" s="1092"/>
      <c r="CG56" s="1092"/>
      <c r="CH56" s="1092"/>
      <c r="CI56" s="1092"/>
      <c r="CJ56" s="1092"/>
      <c r="CK56" s="1092"/>
      <c r="CL56" s="1092"/>
      <c r="CM56" s="1092"/>
      <c r="CN56" s="1092"/>
      <c r="CO56" s="1092"/>
      <c r="CP56" s="1092"/>
    </row>
    <row r="57" spans="1:94" s="209" customFormat="1" ht="111.75" customHeight="1" x14ac:dyDescent="0.6">
      <c r="A57" s="1069"/>
      <c r="B57" s="1069"/>
      <c r="C57" s="1109" t="s">
        <v>701</v>
      </c>
      <c r="D57" s="1070" t="s">
        <v>279</v>
      </c>
      <c r="E57" s="1094">
        <v>0</v>
      </c>
      <c r="F57" s="1094">
        <v>42000000</v>
      </c>
      <c r="G57" s="1094">
        <v>42000000</v>
      </c>
      <c r="H57" s="1094">
        <v>0</v>
      </c>
      <c r="I57" s="1094">
        <f>42000000-10000</f>
        <v>41990000</v>
      </c>
      <c r="J57" s="1094">
        <f>I57</f>
        <v>41990000</v>
      </c>
      <c r="K57" s="1249"/>
      <c r="L57" s="1250"/>
      <c r="M57" s="1250"/>
      <c r="N57" s="1250"/>
      <c r="O57" s="1250"/>
      <c r="P57" s="1250"/>
      <c r="Q57" s="1251"/>
      <c r="R57" s="1251"/>
      <c r="S57" s="1186">
        <f>0</f>
        <v>0</v>
      </c>
      <c r="T57" s="1186">
        <f>J57</f>
        <v>41990000</v>
      </c>
      <c r="U57" s="1186">
        <f>T57</f>
        <v>41990000</v>
      </c>
      <c r="V57" s="1071">
        <v>39143078</v>
      </c>
      <c r="W57" s="1071">
        <v>10000</v>
      </c>
      <c r="X57" s="1071"/>
      <c r="Y57" s="1071">
        <v>12731368</v>
      </c>
      <c r="Z57" s="1071"/>
      <c r="AA57" s="1071"/>
      <c r="AB57" s="1071">
        <v>0</v>
      </c>
      <c r="AC57" s="1071">
        <f>Y57</f>
        <v>12731368</v>
      </c>
      <c r="AD57" s="1071">
        <v>0</v>
      </c>
      <c r="AE57" s="1071"/>
      <c r="AF57" s="1071">
        <v>29258632</v>
      </c>
      <c r="AG57" s="1071">
        <v>0</v>
      </c>
      <c r="AH57" s="1071"/>
      <c r="AI57" s="1071">
        <f>10000-AK57</f>
        <v>0</v>
      </c>
      <c r="AJ57" s="1071"/>
      <c r="AK57" s="1071">
        <v>10000</v>
      </c>
      <c r="AL57" s="1071" t="s">
        <v>591</v>
      </c>
      <c r="AM57" s="1071"/>
      <c r="AN57" s="1149" t="s">
        <v>800</v>
      </c>
      <c r="AO57" s="1072"/>
      <c r="AP57" s="1072"/>
      <c r="AQ57" s="1072"/>
      <c r="AR57" s="1092"/>
      <c r="AS57" s="1092"/>
      <c r="AT57" s="1092"/>
      <c r="AU57" s="1092"/>
      <c r="AV57" s="1092"/>
      <c r="AW57" s="1092"/>
      <c r="AX57" s="1092"/>
      <c r="AY57" s="1092"/>
      <c r="AZ57" s="1092"/>
      <c r="BA57" s="1092"/>
      <c r="BB57" s="1092"/>
      <c r="BC57" s="1092"/>
      <c r="BD57" s="1092"/>
      <c r="BE57" s="1092"/>
      <c r="BF57" s="1092"/>
      <c r="BG57" s="1092"/>
      <c r="BH57" s="1092"/>
      <c r="BI57" s="1092"/>
      <c r="BJ57" s="1092"/>
      <c r="BK57" s="1078"/>
      <c r="BL57" s="1092"/>
      <c r="BM57" s="1092"/>
      <c r="BN57" s="1092"/>
      <c r="BO57" s="1092"/>
      <c r="BP57" s="1092"/>
      <c r="BQ57" s="1092"/>
      <c r="BR57" s="1092"/>
      <c r="BS57" s="1092"/>
      <c r="BT57" s="1092"/>
      <c r="BU57" s="1092"/>
      <c r="BV57" s="1092"/>
      <c r="BW57" s="1092"/>
      <c r="BX57" s="1080"/>
      <c r="BY57" s="1092"/>
      <c r="BZ57" s="1089"/>
      <c r="CA57" s="1082"/>
      <c r="CB57" s="1092"/>
      <c r="CC57" s="1092"/>
      <c r="CD57" s="1092"/>
      <c r="CE57" s="1092"/>
      <c r="CF57" s="1092"/>
      <c r="CG57" s="1092"/>
      <c r="CH57" s="1092"/>
      <c r="CI57" s="1092"/>
      <c r="CJ57" s="1092"/>
      <c r="CK57" s="1092"/>
      <c r="CL57" s="1092"/>
      <c r="CM57" s="1092"/>
      <c r="CN57" s="1092"/>
      <c r="CO57" s="1092"/>
      <c r="CP57" s="1092"/>
    </row>
    <row r="58" spans="1:94" s="603" customFormat="1" ht="84.75" customHeight="1" x14ac:dyDescent="0.6">
      <c r="A58" s="1083">
        <v>12</v>
      </c>
      <c r="B58" s="1083"/>
      <c r="C58" s="1084" t="s">
        <v>679</v>
      </c>
      <c r="D58" s="1085" t="s">
        <v>279</v>
      </c>
      <c r="E58" s="1147">
        <v>0</v>
      </c>
      <c r="F58" s="1147">
        <f>SUM(F59:F61)</f>
        <v>25000000</v>
      </c>
      <c r="G58" s="1147">
        <f>G59</f>
        <v>25000000</v>
      </c>
      <c r="H58" s="1147">
        <v>0</v>
      </c>
      <c r="I58" s="1147">
        <f>SUM(I59:I61)</f>
        <v>24979000</v>
      </c>
      <c r="J58" s="1147">
        <f>J59</f>
        <v>24979000</v>
      </c>
      <c r="K58" s="1177"/>
      <c r="L58" s="1178"/>
      <c r="M58" s="1178"/>
      <c r="N58" s="1178"/>
      <c r="O58" s="1178"/>
      <c r="P58" s="1178"/>
      <c r="Q58" s="1179"/>
      <c r="R58" s="1179"/>
      <c r="S58" s="1180">
        <v>0</v>
      </c>
      <c r="T58" s="1180">
        <f>T59</f>
        <v>24979000</v>
      </c>
      <c r="U58" s="1180">
        <f>T58</f>
        <v>24979000</v>
      </c>
      <c r="V58" s="1086">
        <f>V59</f>
        <v>0</v>
      </c>
      <c r="W58" s="1086">
        <f>SUM(W59:W61)</f>
        <v>0</v>
      </c>
      <c r="X58" s="1086"/>
      <c r="Y58" s="1086">
        <f>Y59</f>
        <v>24979000</v>
      </c>
      <c r="Z58" s="1086"/>
      <c r="AA58" s="1086"/>
      <c r="AB58" s="1086">
        <v>0</v>
      </c>
      <c r="AC58" s="1086">
        <f>AC59</f>
        <v>24979000</v>
      </c>
      <c r="AD58" s="1086">
        <v>0</v>
      </c>
      <c r="AE58" s="1086"/>
      <c r="AF58" s="1086">
        <v>0</v>
      </c>
      <c r="AG58" s="1086">
        <v>0</v>
      </c>
      <c r="AH58" s="1086"/>
      <c r="AI58" s="1086">
        <v>0</v>
      </c>
      <c r="AJ58" s="1086"/>
      <c r="AK58" s="1086"/>
      <c r="AL58" s="1086"/>
      <c r="AM58" s="1086"/>
      <c r="AN58" s="1154">
        <f>[1]NFMA46!$Q$141</f>
        <v>0</v>
      </c>
      <c r="AO58" s="1088"/>
      <c r="AP58" s="1088"/>
      <c r="AQ58" s="1088"/>
      <c r="AR58" s="1092"/>
      <c r="AS58" s="1130">
        <f>AN58-Y62</f>
        <v>-8061717.04</v>
      </c>
      <c r="AT58" s="1130"/>
      <c r="AU58" s="1130"/>
      <c r="AV58" s="1130"/>
      <c r="AW58" s="1092"/>
      <c r="AX58" s="1092"/>
      <c r="AY58" s="1092"/>
      <c r="AZ58" s="1092"/>
      <c r="BA58" s="1092"/>
      <c r="BB58" s="1092"/>
      <c r="BC58" s="1092"/>
      <c r="BD58" s="1092"/>
      <c r="BE58" s="1092"/>
      <c r="BF58" s="1092"/>
      <c r="BG58" s="1092"/>
      <c r="BH58" s="1092"/>
      <c r="BI58" s="1092"/>
      <c r="BJ58" s="1092"/>
      <c r="BK58" s="1078"/>
      <c r="BL58" s="1092"/>
      <c r="BM58" s="1092"/>
      <c r="BN58" s="1092"/>
      <c r="BO58" s="1092"/>
      <c r="BP58" s="1092"/>
      <c r="BQ58" s="1092"/>
      <c r="BR58" s="1092"/>
      <c r="BS58" s="1092"/>
      <c r="BT58" s="1092"/>
      <c r="BU58" s="1092"/>
      <c r="BV58" s="1092"/>
      <c r="BW58" s="1092"/>
      <c r="BX58" s="1080"/>
      <c r="BY58" s="1092"/>
      <c r="BZ58" s="1089"/>
      <c r="CA58" s="1082"/>
      <c r="CB58" s="1092"/>
      <c r="CC58" s="1092"/>
      <c r="CD58" s="1092"/>
      <c r="CE58" s="1092"/>
      <c r="CF58" s="1092"/>
      <c r="CG58" s="1092"/>
      <c r="CH58" s="1092"/>
      <c r="CI58" s="1092"/>
      <c r="CJ58" s="1092"/>
      <c r="CK58" s="1092"/>
      <c r="CL58" s="1092"/>
      <c r="CM58" s="1092"/>
      <c r="CN58" s="1092"/>
      <c r="CO58" s="1092"/>
      <c r="CP58" s="1092"/>
    </row>
    <row r="59" spans="1:94" s="209" customFormat="1" ht="104.25" customHeight="1" x14ac:dyDescent="0.6">
      <c r="A59" s="1069"/>
      <c r="B59" s="1069"/>
      <c r="C59" s="1109" t="s">
        <v>678</v>
      </c>
      <c r="D59" s="1070" t="s">
        <v>279</v>
      </c>
      <c r="E59" s="1094">
        <v>0</v>
      </c>
      <c r="F59" s="1094">
        <v>25000000</v>
      </c>
      <c r="G59" s="1094">
        <v>25000000</v>
      </c>
      <c r="H59" s="1094">
        <v>0</v>
      </c>
      <c r="I59" s="1094">
        <f>25000000-21000</f>
        <v>24979000</v>
      </c>
      <c r="J59" s="1094">
        <f>I59</f>
        <v>24979000</v>
      </c>
      <c r="K59" s="1249"/>
      <c r="L59" s="1250"/>
      <c r="M59" s="1250"/>
      <c r="N59" s="1250"/>
      <c r="O59" s="1250"/>
      <c r="P59" s="1250"/>
      <c r="Q59" s="1251"/>
      <c r="R59" s="1251"/>
      <c r="S59" s="1186">
        <v>0</v>
      </c>
      <c r="T59" s="1186">
        <f>Y59</f>
        <v>24979000</v>
      </c>
      <c r="U59" s="1186">
        <f>T59</f>
        <v>24979000</v>
      </c>
      <c r="V59" s="1071">
        <v>0</v>
      </c>
      <c r="W59" s="1071">
        <v>0</v>
      </c>
      <c r="X59" s="1071"/>
      <c r="Y59" s="1071">
        <v>24979000</v>
      </c>
      <c r="Z59" s="1071"/>
      <c r="AA59" s="1071"/>
      <c r="AB59" s="1071">
        <f>0</f>
        <v>0</v>
      </c>
      <c r="AC59" s="1071">
        <f>Y59</f>
        <v>24979000</v>
      </c>
      <c r="AD59" s="1071">
        <v>0</v>
      </c>
      <c r="AE59" s="1071"/>
      <c r="AF59" s="1071">
        <v>0</v>
      </c>
      <c r="AG59" s="1071">
        <v>0</v>
      </c>
      <c r="AH59" s="1071"/>
      <c r="AI59" s="1071">
        <f>21000-AK59</f>
        <v>0</v>
      </c>
      <c r="AJ59" s="1071"/>
      <c r="AK59" s="1071">
        <v>21000</v>
      </c>
      <c r="AL59" s="1071" t="s">
        <v>592</v>
      </c>
      <c r="AM59" s="1071"/>
      <c r="AN59" s="1149" t="s">
        <v>532</v>
      </c>
      <c r="AO59" s="1072"/>
      <c r="AP59" s="1072"/>
      <c r="AQ59" s="1072"/>
      <c r="AR59" s="1092"/>
      <c r="AS59" s="1092"/>
      <c r="AT59" s="1092"/>
      <c r="AU59" s="1092"/>
      <c r="AV59" s="1092"/>
      <c r="AW59" s="1092"/>
      <c r="AX59" s="1092"/>
      <c r="AY59" s="1092"/>
      <c r="AZ59" s="1092"/>
      <c r="BA59" s="1092"/>
      <c r="BB59" s="1092"/>
      <c r="BC59" s="1092"/>
      <c r="BD59" s="1092"/>
      <c r="BE59" s="1092"/>
      <c r="BF59" s="1092"/>
      <c r="BG59" s="1092"/>
      <c r="BH59" s="1092"/>
      <c r="BI59" s="1092"/>
      <c r="BJ59" s="1092"/>
      <c r="BK59" s="1078"/>
      <c r="BL59" s="1092"/>
      <c r="BM59" s="1092"/>
      <c r="BN59" s="1092"/>
      <c r="BO59" s="1092"/>
      <c r="BP59" s="1092"/>
      <c r="BQ59" s="1092"/>
      <c r="BR59" s="1092"/>
      <c r="BS59" s="1092"/>
      <c r="BT59" s="1092"/>
      <c r="BU59" s="1092"/>
      <c r="BV59" s="1092"/>
      <c r="BW59" s="1092"/>
      <c r="BX59" s="1080"/>
      <c r="BY59" s="1155">
        <f>BY61-BY62</f>
        <v>-1729624.9999999981</v>
      </c>
      <c r="BZ59" s="1089"/>
      <c r="CA59" s="1082"/>
      <c r="CB59" s="1092"/>
      <c r="CC59" s="1092"/>
      <c r="CD59" s="1092"/>
      <c r="CE59" s="1092"/>
      <c r="CF59" s="1092"/>
      <c r="CG59" s="1092"/>
      <c r="CH59" s="1092"/>
      <c r="CI59" s="1092"/>
      <c r="CJ59" s="1092"/>
      <c r="CK59" s="1092"/>
      <c r="CL59" s="1092"/>
      <c r="CM59" s="1092"/>
      <c r="CN59" s="1092"/>
      <c r="CO59" s="1092"/>
      <c r="CP59" s="1092"/>
    </row>
    <row r="60" spans="1:94" s="603" customFormat="1" ht="135.75" customHeight="1" x14ac:dyDescent="0.6">
      <c r="A60" s="1120"/>
      <c r="B60" s="1120"/>
      <c r="C60" s="1290" t="s">
        <v>801</v>
      </c>
      <c r="D60" s="1156" t="s">
        <v>338</v>
      </c>
      <c r="E60" s="1094"/>
      <c r="F60" s="1094"/>
      <c r="G60" s="1094"/>
      <c r="H60" s="1094">
        <v>684000</v>
      </c>
      <c r="I60" s="1094">
        <v>0</v>
      </c>
      <c r="J60" s="1094">
        <f>H60</f>
        <v>684000</v>
      </c>
      <c r="K60" s="1268"/>
      <c r="L60" s="1269"/>
      <c r="M60" s="1269"/>
      <c r="N60" s="1269"/>
      <c r="O60" s="1269"/>
      <c r="P60" s="1269"/>
      <c r="Q60" s="1270"/>
      <c r="R60" s="1270"/>
      <c r="S60" s="1271">
        <f>484000+200000</f>
        <v>684000</v>
      </c>
      <c r="T60" s="1271">
        <v>0</v>
      </c>
      <c r="U60" s="1271">
        <f>S60+T60</f>
        <v>684000</v>
      </c>
      <c r="V60" s="1121">
        <v>0</v>
      </c>
      <c r="W60" s="1121">
        <v>0</v>
      </c>
      <c r="X60" s="1121"/>
      <c r="Y60" s="1121">
        <f>484000+200000</f>
        <v>684000</v>
      </c>
      <c r="Z60" s="1121"/>
      <c r="AA60" s="1121"/>
      <c r="AB60" s="1121">
        <f>484000+200000</f>
        <v>684000</v>
      </c>
      <c r="AC60" s="1121">
        <v>0</v>
      </c>
      <c r="AD60" s="1121">
        <f>J60-Y60</f>
        <v>0</v>
      </c>
      <c r="AE60" s="1121"/>
      <c r="AF60" s="1121">
        <v>0</v>
      </c>
      <c r="AG60" s="1121">
        <v>0</v>
      </c>
      <c r="AH60" s="1121"/>
      <c r="AI60" s="1121">
        <v>0</v>
      </c>
      <c r="AJ60" s="1121"/>
      <c r="AK60" s="1121"/>
      <c r="AL60" s="1121"/>
      <c r="AM60" s="1121"/>
      <c r="AN60" s="1072" t="s">
        <v>802</v>
      </c>
      <c r="AO60" s="1072"/>
      <c r="AP60" s="1072"/>
      <c r="AQ60" s="1072"/>
      <c r="AR60" s="1092"/>
      <c r="AS60" s="1092"/>
      <c r="AT60" s="1092"/>
      <c r="AU60" s="1092"/>
      <c r="AV60" s="1092"/>
      <c r="AW60" s="1092"/>
      <c r="AX60" s="1092"/>
      <c r="AY60" s="1092"/>
      <c r="AZ60" s="1092"/>
      <c r="BA60" s="1092"/>
      <c r="BB60" s="1092"/>
      <c r="BC60" s="1092"/>
      <c r="BD60" s="1092"/>
      <c r="BE60" s="1092"/>
      <c r="BF60" s="1092"/>
      <c r="BG60" s="1092"/>
      <c r="BH60" s="1092"/>
      <c r="BI60" s="1092"/>
      <c r="BJ60" s="1092"/>
      <c r="BK60" s="1078"/>
      <c r="BL60" s="1092"/>
      <c r="BM60" s="1092"/>
      <c r="BN60" s="1092"/>
      <c r="BO60" s="1092"/>
      <c r="BP60" s="1092"/>
      <c r="BQ60" s="1092"/>
      <c r="BR60" s="1092"/>
      <c r="BS60" s="1092"/>
      <c r="BT60" s="1092"/>
      <c r="BU60" s="1092"/>
      <c r="BV60" s="1092"/>
      <c r="BW60" s="1092"/>
      <c r="BX60" s="1080"/>
      <c r="BY60" s="1155"/>
      <c r="BZ60" s="1089"/>
      <c r="CA60" s="1082"/>
      <c r="CB60" s="1092"/>
      <c r="CC60" s="1092"/>
      <c r="CD60" s="1092"/>
      <c r="CE60" s="1092"/>
      <c r="CF60" s="1092"/>
      <c r="CG60" s="1092"/>
      <c r="CH60" s="1092"/>
      <c r="CI60" s="1092"/>
      <c r="CJ60" s="1092"/>
      <c r="CK60" s="1092"/>
      <c r="CL60" s="1092"/>
      <c r="CM60" s="1092"/>
      <c r="CN60" s="1092"/>
      <c r="CO60" s="1092"/>
      <c r="CP60" s="1092"/>
    </row>
    <row r="61" spans="1:94" s="637" customFormat="1" ht="48" customHeight="1" x14ac:dyDescent="0.2">
      <c r="A61" s="1157"/>
      <c r="B61" s="1157"/>
      <c r="C61" s="1158" t="s">
        <v>281</v>
      </c>
      <c r="D61" s="1239"/>
      <c r="E61" s="1291">
        <f>E62+E63+E67</f>
        <v>14774600</v>
      </c>
      <c r="F61" s="1291">
        <f>F62+F63+F67</f>
        <v>0</v>
      </c>
      <c r="G61" s="1291">
        <f>G62+G63+G67</f>
        <v>14774600</v>
      </c>
      <c r="H61" s="1291">
        <f>H62+H63+H67</f>
        <v>14444400</v>
      </c>
      <c r="I61" s="1291">
        <f t="shared" ref="I61:AG61" si="24">I62+I63+I67</f>
        <v>0</v>
      </c>
      <c r="J61" s="1291">
        <f t="shared" si="24"/>
        <v>14444400</v>
      </c>
      <c r="K61" s="1292">
        <f t="shared" si="24"/>
        <v>0</v>
      </c>
      <c r="L61" s="1159">
        <f t="shared" si="24"/>
        <v>0</v>
      </c>
      <c r="M61" s="1159">
        <f t="shared" si="24"/>
        <v>0</v>
      </c>
      <c r="N61" s="1159">
        <f t="shared" si="24"/>
        <v>0</v>
      </c>
      <c r="O61" s="1159">
        <f t="shared" si="24"/>
        <v>0</v>
      </c>
      <c r="P61" s="1159">
        <f t="shared" si="24"/>
        <v>0</v>
      </c>
      <c r="Q61" s="1159">
        <f t="shared" si="24"/>
        <v>0</v>
      </c>
      <c r="R61" s="1159">
        <f t="shared" ca="1" si="24"/>
        <v>14444400</v>
      </c>
      <c r="S61" s="1159">
        <f>S62+S63+S67</f>
        <v>14422683.079999998</v>
      </c>
      <c r="T61" s="1159">
        <f t="shared" ref="T61:U61" si="25">T62+T63+T67</f>
        <v>0</v>
      </c>
      <c r="U61" s="1159">
        <f t="shared" si="25"/>
        <v>14422683.079999998</v>
      </c>
      <c r="V61" s="1159">
        <f t="shared" si="24"/>
        <v>9000</v>
      </c>
      <c r="W61" s="1159">
        <f t="shared" si="24"/>
        <v>0</v>
      </c>
      <c r="X61" s="1159">
        <f t="shared" si="24"/>
        <v>0</v>
      </c>
      <c r="Y61" s="1159">
        <f t="shared" si="24"/>
        <v>13485683.079999998</v>
      </c>
      <c r="Z61" s="1159">
        <f t="shared" si="24"/>
        <v>0</v>
      </c>
      <c r="AA61" s="1159">
        <f t="shared" si="24"/>
        <v>0</v>
      </c>
      <c r="AB61" s="1159">
        <f>AB62+AB63+AB67</f>
        <v>13485683.079999998</v>
      </c>
      <c r="AC61" s="1159">
        <f t="shared" si="24"/>
        <v>0</v>
      </c>
      <c r="AD61" s="1159">
        <f t="shared" si="24"/>
        <v>0</v>
      </c>
      <c r="AE61" s="1159">
        <f t="shared" si="24"/>
        <v>0</v>
      </c>
      <c r="AF61" s="1159">
        <f t="shared" si="24"/>
        <v>937000</v>
      </c>
      <c r="AG61" s="1159">
        <f t="shared" si="24"/>
        <v>21716.92</v>
      </c>
      <c r="AH61" s="1159">
        <v>335200</v>
      </c>
      <c r="AI61" s="1159">
        <f>AI62+AI63+AI67</f>
        <v>33.959999999991851</v>
      </c>
      <c r="AJ61" s="1159">
        <f>AI61/J61*100</f>
        <v>2.3510841571814579E-4</v>
      </c>
      <c r="AK61" s="1159"/>
      <c r="AL61" s="1159">
        <f>Z61+AE61+AJ61</f>
        <v>2.3510841571814579E-4</v>
      </c>
      <c r="AM61" s="1159"/>
      <c r="AN61" s="1238">
        <f>Y61+AD61+AF61+AG61</f>
        <v>14444399.999999998</v>
      </c>
      <c r="AO61" s="1159"/>
      <c r="AP61" s="1159"/>
      <c r="AQ61" s="1159"/>
      <c r="AR61" s="1110"/>
      <c r="AS61" s="1110"/>
      <c r="AT61" s="1110"/>
      <c r="AU61" s="1110"/>
      <c r="AV61" s="1110"/>
      <c r="AW61" s="1110"/>
      <c r="AX61" s="1110"/>
      <c r="AY61" s="1110"/>
      <c r="AZ61" s="1110"/>
      <c r="BA61" s="1110"/>
      <c r="BB61" s="1160">
        <f>2292961.51+1052775</f>
        <v>3345736.51</v>
      </c>
      <c r="BC61" s="1161">
        <f>BB61-Y61</f>
        <v>-10139946.569999998</v>
      </c>
      <c r="BD61" s="1162">
        <f>1052775+BD62</f>
        <v>3374066.16</v>
      </c>
      <c r="BE61" s="1162">
        <f>BD61-Y61</f>
        <v>-10111616.919999998</v>
      </c>
      <c r="BF61" s="1163">
        <f>BF62+1054875</f>
        <v>3540226.16</v>
      </c>
      <c r="BG61" s="1164">
        <f>BF61-Y61</f>
        <v>-9945456.9199999981</v>
      </c>
      <c r="BH61" s="1164">
        <f>BG61-BG62</f>
        <v>-4369091.0399999982</v>
      </c>
      <c r="BI61" s="1165">
        <f>2797270.41+1554875</f>
        <v>4352145.41</v>
      </c>
      <c r="BJ61" s="1164">
        <f>BI61-Y61</f>
        <v>-9133537.6699999981</v>
      </c>
      <c r="BK61" s="1124">
        <f>1868875+2957819.41</f>
        <v>4826694.41</v>
      </c>
      <c r="BL61" s="1166">
        <f>3481538.42+2055841.04</f>
        <v>5537379.46</v>
      </c>
      <c r="BM61" s="1167">
        <f>BL61-Y61</f>
        <v>-7948303.6199999982</v>
      </c>
      <c r="BN61" s="1167">
        <f>411500+3627260.42+2204341.04</f>
        <v>6243101.46</v>
      </c>
      <c r="BO61" s="1167">
        <f>V61-BN61</f>
        <v>-6234101.46</v>
      </c>
      <c r="BP61" s="1168">
        <f>BP62+2204341.04</f>
        <v>5831601.46</v>
      </c>
      <c r="BQ61" s="1167">
        <f>BP61-Y61</f>
        <v>-7654081.6199999982</v>
      </c>
      <c r="BR61" s="1167">
        <f>BQ61-BQ62</f>
        <v>-3219624.9999999981</v>
      </c>
      <c r="BS61" s="1169">
        <f>2204341.04+BS62</f>
        <v>6391646.46</v>
      </c>
      <c r="BT61" s="1163">
        <f>BS61-Y61</f>
        <v>-7094036.6199999982</v>
      </c>
      <c r="BU61" s="1152">
        <f>8505889.38</f>
        <v>8505889.3800000008</v>
      </c>
      <c r="BV61" s="1168">
        <f>BU61-Y61</f>
        <v>-4979793.6999999974</v>
      </c>
      <c r="BW61" s="1110"/>
      <c r="BX61" s="1082">
        <f>5394919.87+3694341.04</f>
        <v>9089260.9100000001</v>
      </c>
      <c r="BY61" s="1170">
        <f>BX61-Y61</f>
        <v>-4396422.1699999981</v>
      </c>
      <c r="BZ61" s="1171">
        <v>9703707.2100000009</v>
      </c>
      <c r="CA61" s="1171"/>
      <c r="CB61" s="1110"/>
      <c r="CC61" s="1110"/>
      <c r="CD61" s="1110"/>
      <c r="CE61" s="1110"/>
      <c r="CF61" s="1110"/>
      <c r="CG61" s="1110"/>
      <c r="CH61" s="1110"/>
      <c r="CI61" s="1110"/>
      <c r="CJ61" s="1110"/>
      <c r="CK61" s="1110"/>
      <c r="CL61" s="1110"/>
      <c r="CM61" s="1110"/>
      <c r="CN61" s="1110"/>
      <c r="CO61" s="1110"/>
      <c r="CP61" s="1110"/>
    </row>
    <row r="62" spans="1:94" s="636" customFormat="1" ht="46.5" customHeight="1" x14ac:dyDescent="0.6">
      <c r="A62" s="1049"/>
      <c r="B62" s="1049"/>
      <c r="C62" s="1125" t="s">
        <v>138</v>
      </c>
      <c r="D62" s="1172"/>
      <c r="E62" s="1291">
        <v>9000000</v>
      </c>
      <c r="F62" s="1291">
        <v>0</v>
      </c>
      <c r="G62" s="1291">
        <v>9000000</v>
      </c>
      <c r="H62" s="1291">
        <v>9000000</v>
      </c>
      <c r="I62" s="1291">
        <v>0</v>
      </c>
      <c r="J62" s="1291">
        <v>9000000</v>
      </c>
      <c r="K62" s="1173"/>
      <c r="L62" s="1026"/>
      <c r="M62" s="1026"/>
      <c r="N62" s="1026"/>
      <c r="O62" s="1026"/>
      <c r="P62" s="1026"/>
      <c r="Q62" s="1026"/>
      <c r="R62" s="1026">
        <f ca="1">R61-V61</f>
        <v>6285146.46</v>
      </c>
      <c r="S62" s="1174">
        <f>J62-1282.96</f>
        <v>8998717.0399999991</v>
      </c>
      <c r="T62" s="1174">
        <v>0</v>
      </c>
      <c r="U62" s="1174">
        <f>S62</f>
        <v>8998717.0399999991</v>
      </c>
      <c r="V62" s="1174">
        <v>9000</v>
      </c>
      <c r="W62" s="1026"/>
      <c r="X62" s="1026"/>
      <c r="Y62" s="1174">
        <v>8061717.04</v>
      </c>
      <c r="Z62" s="1174"/>
      <c r="AA62" s="1174"/>
      <c r="AB62" s="1174">
        <v>8061717.04</v>
      </c>
      <c r="AC62" s="1174">
        <v>0</v>
      </c>
      <c r="AD62" s="1174">
        <v>0</v>
      </c>
      <c r="AE62" s="1174"/>
      <c r="AF62" s="1174">
        <v>937000</v>
      </c>
      <c r="AG62" s="1174">
        <v>1282.96</v>
      </c>
      <c r="AH62" s="1026"/>
      <c r="AI62" s="1026"/>
      <c r="AJ62" s="1026"/>
      <c r="AK62" s="1026"/>
      <c r="AL62" s="1026"/>
      <c r="AM62" s="1026"/>
      <c r="AN62" s="1026"/>
      <c r="AO62" s="1026"/>
      <c r="AP62" s="1026"/>
      <c r="AQ62" s="1026"/>
      <c r="AR62" s="1130">
        <f>Y62+917775</f>
        <v>8979492.0399999991</v>
      </c>
      <c r="AS62" s="1175"/>
      <c r="AT62" s="1175"/>
      <c r="AU62" s="1131">
        <f>917775+1677473.24</f>
        <v>2595248.2400000002</v>
      </c>
      <c r="AV62" s="1131"/>
      <c r="AW62" s="1092"/>
      <c r="AX62" s="1130">
        <f>2217110.51-Y62</f>
        <v>-5844606.5300000003</v>
      </c>
      <c r="AY62" s="1128">
        <v>375419.27</v>
      </c>
      <c r="AZ62" s="1128"/>
      <c r="BA62" s="1128"/>
      <c r="BB62" s="1128">
        <v>2292961.5099999998</v>
      </c>
      <c r="BC62" s="1128">
        <f>BB62-Y62</f>
        <v>-5768755.5300000003</v>
      </c>
      <c r="BD62" s="1078">
        <v>2321291.16</v>
      </c>
      <c r="BE62" s="1078">
        <f>BD62-Y62</f>
        <v>-5740425.8799999999</v>
      </c>
      <c r="BF62" s="1078">
        <v>2485351.16</v>
      </c>
      <c r="BG62" s="1130">
        <f>BF62-Y62</f>
        <v>-5576365.8799999999</v>
      </c>
      <c r="BH62" s="1092"/>
      <c r="BI62" s="1128">
        <v>2485351.16</v>
      </c>
      <c r="BJ62" s="1128">
        <v>2797270.41</v>
      </c>
      <c r="BK62" s="1078">
        <v>2957819.41</v>
      </c>
      <c r="BL62" s="1131">
        <v>3481538.42</v>
      </c>
      <c r="BM62" s="1131">
        <f>BL62-Y62</f>
        <v>-4580178.62</v>
      </c>
      <c r="BN62" s="1131"/>
      <c r="BO62" s="1131"/>
      <c r="BP62" s="1078">
        <v>3627260.42</v>
      </c>
      <c r="BQ62" s="1132">
        <f>BP62-Y62</f>
        <v>-4434456.62</v>
      </c>
      <c r="BR62" s="1092"/>
      <c r="BS62" s="1057">
        <v>4187305.42</v>
      </c>
      <c r="BT62" s="1038">
        <f>BS62-Y62</f>
        <v>-3874411.62</v>
      </c>
      <c r="BU62" s="1092"/>
      <c r="BV62" s="1092"/>
      <c r="BW62" s="1092"/>
      <c r="BX62" s="1176">
        <v>5394919.8700000001</v>
      </c>
      <c r="BY62" s="1138">
        <f>BX62-Y62</f>
        <v>-2666797.17</v>
      </c>
      <c r="BZ62" s="1089"/>
      <c r="CA62" s="1082"/>
      <c r="CB62" s="1092"/>
      <c r="CC62" s="1092"/>
      <c r="CD62" s="1092"/>
      <c r="CE62" s="1092"/>
      <c r="CF62" s="1092"/>
      <c r="CG62" s="1092"/>
      <c r="CH62" s="1092"/>
      <c r="CI62" s="1092"/>
      <c r="CJ62" s="1092"/>
      <c r="CK62" s="1092"/>
      <c r="CL62" s="1092"/>
      <c r="CM62" s="1092"/>
      <c r="CN62" s="1092"/>
      <c r="CO62" s="1092"/>
      <c r="CP62" s="1092"/>
    </row>
    <row r="63" spans="1:94" s="928" customFormat="1" ht="70.5" customHeight="1" x14ac:dyDescent="0.6">
      <c r="A63" s="1083">
        <v>13</v>
      </c>
      <c r="B63" s="1083"/>
      <c r="C63" s="1084" t="s">
        <v>680</v>
      </c>
      <c r="D63" s="1085" t="s">
        <v>742</v>
      </c>
      <c r="E63" s="1147">
        <f t="shared" ref="E63:J63" si="26">E65+E66</f>
        <v>1741100</v>
      </c>
      <c r="F63" s="1147">
        <f t="shared" si="26"/>
        <v>0</v>
      </c>
      <c r="G63" s="1147">
        <f t="shared" si="26"/>
        <v>1741100</v>
      </c>
      <c r="H63" s="1147">
        <f t="shared" si="26"/>
        <v>1741100</v>
      </c>
      <c r="I63" s="1147">
        <f t="shared" si="26"/>
        <v>0</v>
      </c>
      <c r="J63" s="1147">
        <f t="shared" si="26"/>
        <v>1741100</v>
      </c>
      <c r="K63" s="1177"/>
      <c r="L63" s="1178"/>
      <c r="M63" s="1178"/>
      <c r="N63" s="1178"/>
      <c r="O63" s="1178"/>
      <c r="P63" s="1178"/>
      <c r="Q63" s="1179"/>
      <c r="R63" s="1179"/>
      <c r="S63" s="1180">
        <f>V63+Y63</f>
        <v>1741100</v>
      </c>
      <c r="T63" s="1180">
        <v>0</v>
      </c>
      <c r="U63" s="1180">
        <f>U65+U66</f>
        <v>1741100</v>
      </c>
      <c r="V63" s="1086">
        <f>V65+V66</f>
        <v>0</v>
      </c>
      <c r="W63" s="1086">
        <f>W65+W66</f>
        <v>0</v>
      </c>
      <c r="X63" s="1086"/>
      <c r="Y63" s="1086">
        <f>Y65+Y66</f>
        <v>1741100</v>
      </c>
      <c r="Z63" s="1086"/>
      <c r="AA63" s="1086"/>
      <c r="AB63" s="1086">
        <f>AB65+AB66</f>
        <v>1741100</v>
      </c>
      <c r="AC63" s="1086">
        <v>0</v>
      </c>
      <c r="AD63" s="1086">
        <f>AD65+AD66</f>
        <v>0</v>
      </c>
      <c r="AE63" s="1086"/>
      <c r="AF63" s="1086">
        <f>SUM(AF64:AF64)</f>
        <v>0</v>
      </c>
      <c r="AG63" s="1086"/>
      <c r="AH63" s="1086"/>
      <c r="AI63" s="1086"/>
      <c r="AJ63" s="1086"/>
      <c r="AK63" s="1086"/>
      <c r="AL63" s="1086"/>
      <c r="AM63" s="1086"/>
      <c r="AN63" s="1293"/>
      <c r="AO63" s="1088"/>
      <c r="AP63" s="1088"/>
      <c r="AQ63" s="1088"/>
      <c r="AR63" s="1092"/>
      <c r="AS63" s="1181"/>
      <c r="AT63" s="1181"/>
      <c r="AU63" s="1181"/>
      <c r="AV63" s="1181"/>
      <c r="AW63" s="1092"/>
      <c r="AX63" s="1092"/>
      <c r="AY63" s="1092"/>
      <c r="AZ63" s="1092"/>
      <c r="BA63" s="1092"/>
      <c r="BB63" s="1092"/>
      <c r="BC63" s="1092"/>
      <c r="BD63" s="1092"/>
      <c r="BE63" s="1092"/>
      <c r="BF63" s="1092"/>
      <c r="BG63" s="1092"/>
      <c r="BH63" s="1092"/>
      <c r="BI63" s="1092"/>
      <c r="BJ63" s="1130">
        <f>BJ61-BK62</f>
        <v>-12091357.079999998</v>
      </c>
      <c r="BK63" s="1078"/>
      <c r="BL63" s="1130">
        <f>BL61-Y61</f>
        <v>-7948303.6199999982</v>
      </c>
      <c r="BM63" s="1130"/>
      <c r="BN63" s="1130"/>
      <c r="BO63" s="1130"/>
      <c r="BP63" s="1092"/>
      <c r="BQ63" s="1092"/>
      <c r="BR63" s="1092"/>
      <c r="BS63" s="1092"/>
      <c r="BT63" s="1092"/>
      <c r="BU63" s="1092"/>
      <c r="BV63" s="1092"/>
      <c r="BW63" s="1092"/>
      <c r="BX63" s="1080"/>
      <c r="BY63" s="1092"/>
      <c r="BZ63" s="1034">
        <f>Y61-9703707.21</f>
        <v>3781975.8699999973</v>
      </c>
      <c r="CA63" s="1082"/>
      <c r="CB63" s="1092"/>
      <c r="CC63" s="1092"/>
      <c r="CD63" s="1092"/>
      <c r="CE63" s="1092"/>
      <c r="CF63" s="1092"/>
      <c r="CG63" s="1092"/>
      <c r="CH63" s="1092"/>
      <c r="CI63" s="1092"/>
      <c r="CJ63" s="1092"/>
      <c r="CK63" s="1092"/>
      <c r="CL63" s="1092"/>
      <c r="CM63" s="1092"/>
      <c r="CN63" s="1092"/>
      <c r="CO63" s="1092"/>
      <c r="CP63" s="1092"/>
    </row>
    <row r="64" spans="1:94" s="209" customFormat="1" ht="61.5" hidden="1" customHeight="1" x14ac:dyDescent="0.6">
      <c r="A64" s="1069"/>
      <c r="B64" s="1069"/>
      <c r="C64" s="1109"/>
      <c r="D64" s="1070" t="s">
        <v>319</v>
      </c>
      <c r="E64" s="1094"/>
      <c r="F64" s="1094"/>
      <c r="G64" s="1094"/>
      <c r="H64" s="1094"/>
      <c r="I64" s="1094"/>
      <c r="J64" s="1094"/>
      <c r="K64" s="1249">
        <v>12</v>
      </c>
      <c r="L64" s="1250">
        <v>3</v>
      </c>
      <c r="M64" s="1250"/>
      <c r="N64" s="1250"/>
      <c r="O64" s="1250">
        <v>2</v>
      </c>
      <c r="P64" s="1250"/>
      <c r="Q64" s="1251" t="s">
        <v>185</v>
      </c>
      <c r="R64" s="1251"/>
      <c r="S64" s="1186"/>
      <c r="T64" s="1186">
        <v>0</v>
      </c>
      <c r="U64" s="1186">
        <f>Y61-11952426.4</f>
        <v>1533256.6799999978</v>
      </c>
      <c r="V64" s="1071">
        <v>0</v>
      </c>
      <c r="W64" s="1071">
        <f>W65+W66</f>
        <v>0</v>
      </c>
      <c r="X64" s="1071"/>
      <c r="Y64" s="1294"/>
      <c r="Z64" s="1071"/>
      <c r="AA64" s="1071"/>
      <c r="AB64" s="1071"/>
      <c r="AC64" s="1071"/>
      <c r="AD64" s="1071"/>
      <c r="AE64" s="1071"/>
      <c r="AF64" s="1071">
        <v>0</v>
      </c>
      <c r="AG64" s="1071"/>
      <c r="AH64" s="1071"/>
      <c r="AI64" s="1071"/>
      <c r="AJ64" s="1071"/>
      <c r="AK64" s="1071"/>
      <c r="AL64" s="1071"/>
      <c r="AM64" s="1071"/>
      <c r="AN64" s="1149" t="s">
        <v>671</v>
      </c>
      <c r="AO64" s="1072"/>
      <c r="AP64" s="1072"/>
      <c r="AQ64" s="1072"/>
      <c r="AR64" s="1092"/>
      <c r="AS64" s="1092"/>
      <c r="AT64" s="1092"/>
      <c r="AU64" s="1092"/>
      <c r="AV64" s="1092"/>
      <c r="AW64" s="1092"/>
      <c r="AX64" s="1092"/>
      <c r="AY64" s="1092"/>
      <c r="AZ64" s="1092"/>
      <c r="BA64" s="1092"/>
      <c r="BB64" s="1092"/>
      <c r="BC64" s="1092"/>
      <c r="BD64" s="1092"/>
      <c r="BE64" s="1092"/>
      <c r="BF64" s="1092"/>
      <c r="BG64" s="1092"/>
      <c r="BH64" s="1092"/>
      <c r="BI64" s="1092"/>
      <c r="BJ64" s="1092"/>
      <c r="BK64" s="1078"/>
      <c r="BL64" s="1175"/>
      <c r="BM64" s="1092"/>
      <c r="BN64" s="1092"/>
      <c r="BO64" s="1092"/>
      <c r="BP64" s="1092"/>
      <c r="BQ64" s="1092"/>
      <c r="BR64" s="1092"/>
      <c r="BS64" s="1092"/>
      <c r="BT64" s="1092"/>
      <c r="BU64" s="1092"/>
      <c r="BV64" s="1092"/>
      <c r="BW64" s="1092"/>
      <c r="BX64" s="1080"/>
      <c r="BY64" s="1092"/>
      <c r="BZ64" s="1089"/>
      <c r="CA64" s="1082"/>
      <c r="CB64" s="1092"/>
      <c r="CC64" s="1092"/>
      <c r="CD64" s="1092"/>
      <c r="CE64" s="1092"/>
      <c r="CF64" s="1092"/>
      <c r="CG64" s="1092"/>
      <c r="CH64" s="1092"/>
      <c r="CI64" s="1092"/>
      <c r="CJ64" s="1092"/>
      <c r="CK64" s="1092"/>
      <c r="CL64" s="1092"/>
      <c r="CM64" s="1092"/>
      <c r="CN64" s="1092"/>
      <c r="CO64" s="1092"/>
      <c r="CP64" s="1092"/>
    </row>
    <row r="65" spans="1:94" s="209" customFormat="1" ht="93" customHeight="1" x14ac:dyDescent="0.6">
      <c r="A65" s="1069"/>
      <c r="B65" s="1069"/>
      <c r="C65" s="1109" t="s">
        <v>321</v>
      </c>
      <c r="D65" s="1070" t="s">
        <v>700</v>
      </c>
      <c r="E65" s="1094">
        <v>909900</v>
      </c>
      <c r="F65" s="1094">
        <v>0</v>
      </c>
      <c r="G65" s="1094">
        <v>909900</v>
      </c>
      <c r="H65" s="1094">
        <v>909900</v>
      </c>
      <c r="I65" s="1094">
        <v>0</v>
      </c>
      <c r="J65" s="1094">
        <v>909900</v>
      </c>
      <c r="K65" s="1249">
        <v>12</v>
      </c>
      <c r="L65" s="1250">
        <v>3</v>
      </c>
      <c r="M65" s="1250"/>
      <c r="N65" s="1250"/>
      <c r="O65" s="1250">
        <v>2</v>
      </c>
      <c r="P65" s="1250"/>
      <c r="Q65" s="1251" t="s">
        <v>185</v>
      </c>
      <c r="R65" s="1251"/>
      <c r="S65" s="1186">
        <f>V65+Y65</f>
        <v>909900</v>
      </c>
      <c r="T65" s="1186">
        <v>0</v>
      </c>
      <c r="U65" s="1186">
        <v>909900</v>
      </c>
      <c r="V65" s="1071">
        <v>0</v>
      </c>
      <c r="W65" s="1071">
        <v>0</v>
      </c>
      <c r="X65" s="1071"/>
      <c r="Y65" s="1071">
        <v>909900</v>
      </c>
      <c r="Z65" s="1071"/>
      <c r="AA65" s="1071"/>
      <c r="AB65" s="1071">
        <f>850675+59225</f>
        <v>909900</v>
      </c>
      <c r="AC65" s="1071">
        <v>0</v>
      </c>
      <c r="AD65" s="1071">
        <f>J65-Y65</f>
        <v>0</v>
      </c>
      <c r="AE65" s="1071"/>
      <c r="AF65" s="1071">
        <v>0</v>
      </c>
      <c r="AG65" s="1103"/>
      <c r="AH65" s="1103"/>
      <c r="AI65" s="1103">
        <f>Y65-742975</f>
        <v>166925</v>
      </c>
      <c r="AJ65" s="1103"/>
      <c r="AK65" s="1103"/>
      <c r="AL65" s="1103"/>
      <c r="AM65" s="1103"/>
      <c r="AN65" s="1295" t="s">
        <v>459</v>
      </c>
      <c r="AO65" s="1182"/>
      <c r="AP65" s="1182" t="s">
        <v>397</v>
      </c>
      <c r="AQ65" s="1182">
        <f>600+10425+242975</f>
        <v>254000</v>
      </c>
      <c r="AR65" s="1092"/>
      <c r="AS65" s="1150" t="s">
        <v>443</v>
      </c>
      <c r="AT65" s="1150"/>
      <c r="AU65" s="1183"/>
      <c r="AV65" s="1183"/>
      <c r="AW65" s="1092"/>
      <c r="AX65" s="1110" t="s">
        <v>471</v>
      </c>
      <c r="AY65" s="1092"/>
      <c r="AZ65" s="1092"/>
      <c r="BA65" s="1092"/>
      <c r="BB65" s="1092"/>
      <c r="BC65" s="1092"/>
      <c r="BD65" s="1092"/>
      <c r="BE65" s="1092"/>
      <c r="BF65" s="1092"/>
      <c r="BG65" s="1092"/>
      <c r="BH65" s="1092"/>
      <c r="BI65" s="1110" t="s">
        <v>490</v>
      </c>
      <c r="BJ65" s="1092"/>
      <c r="BK65" s="1078"/>
      <c r="BL65" s="1092"/>
      <c r="BM65" s="1092"/>
      <c r="BN65" s="1092"/>
      <c r="BO65" s="1092"/>
      <c r="BP65" s="1115"/>
      <c r="BQ65" s="1130"/>
      <c r="BR65" s="1092"/>
      <c r="BS65" s="1092"/>
      <c r="BT65" s="1092"/>
      <c r="BU65" s="1092"/>
      <c r="BV65" s="1092"/>
      <c r="BW65" s="1092"/>
      <c r="BX65" s="1080"/>
      <c r="BY65" s="1092"/>
      <c r="BZ65" s="1111" t="s">
        <v>546</v>
      </c>
      <c r="CA65" s="1082"/>
      <c r="CB65" s="1092"/>
      <c r="CC65" s="1092"/>
      <c r="CD65" s="1092"/>
      <c r="CE65" s="1092"/>
      <c r="CF65" s="1092"/>
      <c r="CG65" s="1092"/>
      <c r="CH65" s="1092"/>
      <c r="CI65" s="1092"/>
      <c r="CJ65" s="1092"/>
      <c r="CK65" s="1092"/>
      <c r="CL65" s="1092"/>
      <c r="CM65" s="1092"/>
      <c r="CN65" s="1092"/>
      <c r="CO65" s="1092"/>
      <c r="CP65" s="1092"/>
    </row>
    <row r="66" spans="1:94" s="209" customFormat="1" ht="69.599999999999994" customHeight="1" x14ac:dyDescent="0.6">
      <c r="A66" s="1069"/>
      <c r="B66" s="1069"/>
      <c r="C66" s="1109" t="s">
        <v>322</v>
      </c>
      <c r="D66" s="1070" t="s">
        <v>700</v>
      </c>
      <c r="E66" s="1094">
        <v>831200</v>
      </c>
      <c r="F66" s="1094">
        <v>0</v>
      </c>
      <c r="G66" s="1094">
        <v>831200</v>
      </c>
      <c r="H66" s="1094">
        <v>831200</v>
      </c>
      <c r="I66" s="1094">
        <v>0</v>
      </c>
      <c r="J66" s="1094">
        <v>831200</v>
      </c>
      <c r="K66" s="1249">
        <v>12</v>
      </c>
      <c r="L66" s="1250">
        <v>3</v>
      </c>
      <c r="M66" s="1250"/>
      <c r="N66" s="1250"/>
      <c r="O66" s="1250">
        <v>2</v>
      </c>
      <c r="P66" s="1250"/>
      <c r="Q66" s="1251" t="s">
        <v>185</v>
      </c>
      <c r="R66" s="1251"/>
      <c r="S66" s="1186">
        <v>831200</v>
      </c>
      <c r="T66" s="1186">
        <v>0</v>
      </c>
      <c r="U66" s="1186">
        <f>S66</f>
        <v>831200</v>
      </c>
      <c r="V66" s="1071">
        <v>0</v>
      </c>
      <c r="W66" s="1071">
        <v>0</v>
      </c>
      <c r="X66" s="1071"/>
      <c r="Y66" s="1071">
        <v>831200</v>
      </c>
      <c r="Z66" s="1071"/>
      <c r="AA66" s="1071"/>
      <c r="AB66" s="1071">
        <f>Y66</f>
        <v>831200</v>
      </c>
      <c r="AC66" s="1071">
        <v>0</v>
      </c>
      <c r="AD66" s="1071">
        <v>0</v>
      </c>
      <c r="AE66" s="1071"/>
      <c r="AF66" s="1071">
        <v>0</v>
      </c>
      <c r="AG66" s="1146"/>
      <c r="AH66" s="1146"/>
      <c r="AI66" s="1146"/>
      <c r="AJ66" s="1146"/>
      <c r="AK66" s="1146"/>
      <c r="AL66" s="1146"/>
      <c r="AM66" s="1121"/>
      <c r="AN66" s="1295" t="s">
        <v>459</v>
      </c>
      <c r="AO66" s="1184"/>
      <c r="AP66" s="1184"/>
      <c r="AQ66" s="1185"/>
      <c r="AR66" s="1092"/>
      <c r="AS66" s="1092"/>
      <c r="AT66" s="1092"/>
      <c r="AU66" s="1092"/>
      <c r="AV66" s="1092"/>
      <c r="AW66" s="1092"/>
      <c r="AX66" s="1092"/>
      <c r="AY66" s="1092"/>
      <c r="AZ66" s="1092"/>
      <c r="BA66" s="1092"/>
      <c r="BB66" s="1092"/>
      <c r="BC66" s="1092"/>
      <c r="BD66" s="1092"/>
      <c r="BE66" s="1092"/>
      <c r="BF66" s="1092"/>
      <c r="BG66" s="1092"/>
      <c r="BH66" s="1092"/>
      <c r="BI66" s="1092"/>
      <c r="BJ66" s="1092"/>
      <c r="BK66" s="1089" t="s">
        <v>496</v>
      </c>
      <c r="BL66" s="1092"/>
      <c r="BM66" s="1092"/>
      <c r="BN66" s="1092"/>
      <c r="BO66" s="1092"/>
      <c r="BP66" s="1150" t="s">
        <v>516</v>
      </c>
      <c r="BQ66" s="1092"/>
      <c r="BR66" s="1092"/>
      <c r="BS66" s="1092"/>
      <c r="BT66" s="1092"/>
      <c r="BU66" s="1092"/>
      <c r="BV66" s="1092"/>
      <c r="BW66" s="1092"/>
      <c r="BX66" s="1080"/>
      <c r="BY66" s="1092"/>
      <c r="BZ66" s="1089"/>
      <c r="CA66" s="1082"/>
      <c r="CB66" s="1092"/>
      <c r="CC66" s="1092"/>
      <c r="CD66" s="1092"/>
      <c r="CE66" s="1092"/>
      <c r="CF66" s="1092"/>
      <c r="CG66" s="1092"/>
      <c r="CH66" s="1092"/>
      <c r="CI66" s="1092"/>
      <c r="CJ66" s="1092"/>
      <c r="CK66" s="1092"/>
      <c r="CL66" s="1092"/>
      <c r="CM66" s="1092"/>
      <c r="CN66" s="1092"/>
      <c r="CO66" s="1092"/>
      <c r="CP66" s="1092"/>
    </row>
    <row r="67" spans="1:94" s="603" customFormat="1" ht="50.25" customHeight="1" x14ac:dyDescent="0.6">
      <c r="A67" s="1083">
        <v>14</v>
      </c>
      <c r="B67" s="1083"/>
      <c r="C67" s="1084" t="s">
        <v>408</v>
      </c>
      <c r="D67" s="1085" t="s">
        <v>333</v>
      </c>
      <c r="E67" s="1147">
        <f>SUM(E68:E81)</f>
        <v>4033500</v>
      </c>
      <c r="F67" s="1147">
        <f>SUM(F68:F71)</f>
        <v>0</v>
      </c>
      <c r="G67" s="1147">
        <f>SUM(G68:G81)</f>
        <v>4033500</v>
      </c>
      <c r="H67" s="1147">
        <f>SUM(H68:H81)</f>
        <v>3703300</v>
      </c>
      <c r="I67" s="1147">
        <f>SUM(I68:I71)</f>
        <v>0</v>
      </c>
      <c r="J67" s="1147">
        <f>SUM(J68:J81)</f>
        <v>3703300</v>
      </c>
      <c r="K67" s="1177"/>
      <c r="L67" s="1178"/>
      <c r="M67" s="1178"/>
      <c r="N67" s="1178"/>
      <c r="O67" s="1178"/>
      <c r="P67" s="1178"/>
      <c r="Q67" s="1179"/>
      <c r="R67" s="1179"/>
      <c r="S67" s="1180">
        <f>V67+Y67</f>
        <v>3682866.04</v>
      </c>
      <c r="T67" s="1180">
        <f t="shared" ref="T67" si="27">W67+Z67</f>
        <v>0</v>
      </c>
      <c r="U67" s="1180">
        <f>S67</f>
        <v>3682866.04</v>
      </c>
      <c r="V67" s="1086">
        <f>V68+V69+V70+V71+V72+V73+V74+V75+V76+V77+V78+V79+V80+V81</f>
        <v>0</v>
      </c>
      <c r="W67" s="1086">
        <f>W68+W69+W70+W71+W72+W73+W74+W75+W76+W77+W78+W79+W80+W81</f>
        <v>0</v>
      </c>
      <c r="X67" s="1086"/>
      <c r="Y67" s="1086">
        <f>Y68+Y69+Y70+Y71+Y72+Y73+Y74+Y75+Y76+Y77+Y78+Y79+Y80+Y81</f>
        <v>3682866.04</v>
      </c>
      <c r="Z67" s="1086"/>
      <c r="AA67" s="1086"/>
      <c r="AB67" s="1086">
        <f>Y67</f>
        <v>3682866.04</v>
      </c>
      <c r="AC67" s="1086">
        <v>0</v>
      </c>
      <c r="AD67" s="1086">
        <f>AD68+AD69+AD70+AD71+AD72+AD73+AD74+AD75+AD76+AD77+AD78+AD79+AD80+AD81</f>
        <v>0</v>
      </c>
      <c r="AE67" s="1086">
        <f>AE68+AE69+AE70+AE71+AE72+AE73+AE74+AE75+AE76+AE77+AE78+AE79+AE80+AE81</f>
        <v>0</v>
      </c>
      <c r="AF67" s="1086">
        <f>AF68+AF69+AF70+AF71+AF72+AF73+AF74+AF75+AF76+AF77+AF78+AF79+AF80+AF81</f>
        <v>0</v>
      </c>
      <c r="AG67" s="1086">
        <f>AG68+AG69+AG70+AG71+AG72+AG73+AG74+AG75+AG76+AG77+AG78+AG79+AG80+AG81</f>
        <v>20433.96</v>
      </c>
      <c r="AH67" s="1086"/>
      <c r="AI67" s="1086">
        <f>AI68+AI69+AI70+AI71+AI72+AI73+AI74+AI75+AI76+AI77+AI78+AI79+AI80+AI81</f>
        <v>33.959999999991851</v>
      </c>
      <c r="AJ67" s="1086"/>
      <c r="AK67" s="1086">
        <v>335200</v>
      </c>
      <c r="AL67" s="1086" t="s">
        <v>584</v>
      </c>
      <c r="AM67" s="1086"/>
      <c r="AN67" s="1140"/>
      <c r="AO67" s="1088"/>
      <c r="AP67" s="1088"/>
      <c r="AQ67" s="1093">
        <f>596200-AN67</f>
        <v>596200</v>
      </c>
      <c r="AR67" s="1127"/>
      <c r="AS67" s="1127"/>
      <c r="AT67" s="1127"/>
      <c r="AU67" s="1127"/>
      <c r="AV67" s="1127"/>
      <c r="AW67" s="1092"/>
      <c r="AX67" s="1092"/>
      <c r="AY67" s="1092"/>
      <c r="AZ67" s="1092"/>
      <c r="BA67" s="1092"/>
      <c r="BB67" s="1092"/>
      <c r="BC67" s="1092"/>
      <c r="BD67" s="1092"/>
      <c r="BE67" s="1092"/>
      <c r="BF67" s="1092"/>
      <c r="BG67" s="1092"/>
      <c r="BH67" s="1092"/>
      <c r="BI67" s="1092"/>
      <c r="BJ67" s="1092"/>
      <c r="BK67" s="1078"/>
      <c r="BL67" s="1092"/>
      <c r="BM67" s="1092"/>
      <c r="BN67" s="1092"/>
      <c r="BO67" s="1092"/>
      <c r="BP67" s="1092"/>
      <c r="BQ67" s="1092"/>
      <c r="BR67" s="1092"/>
      <c r="BS67" s="1092"/>
      <c r="BT67" s="1092"/>
      <c r="BU67" s="1092"/>
      <c r="BV67" s="1092"/>
      <c r="BW67" s="1092"/>
      <c r="BX67" s="1080"/>
      <c r="BY67" s="1092"/>
      <c r="BZ67" s="1089"/>
      <c r="CA67" s="1082"/>
      <c r="CB67" s="1092"/>
      <c r="CC67" s="1092"/>
      <c r="CD67" s="1092"/>
      <c r="CE67" s="1092"/>
      <c r="CF67" s="1092"/>
      <c r="CG67" s="1092"/>
      <c r="CH67" s="1092"/>
      <c r="CI67" s="1092"/>
      <c r="CJ67" s="1092"/>
      <c r="CK67" s="1092"/>
      <c r="CL67" s="1092"/>
      <c r="CM67" s="1092"/>
      <c r="CN67" s="1092"/>
      <c r="CO67" s="1092"/>
      <c r="CP67" s="1092"/>
    </row>
    <row r="68" spans="1:94" s="209" customFormat="1" ht="64.5" customHeight="1" x14ac:dyDescent="0.6">
      <c r="A68" s="1069">
        <v>1</v>
      </c>
      <c r="B68" s="1069">
        <v>1</v>
      </c>
      <c r="C68" s="1109" t="s">
        <v>284</v>
      </c>
      <c r="D68" s="1070" t="s">
        <v>334</v>
      </c>
      <c r="E68" s="1094">
        <v>60000</v>
      </c>
      <c r="F68" s="1094">
        <v>0</v>
      </c>
      <c r="G68" s="1094">
        <f t="shared" ref="G68:G74" si="28">E68+F68</f>
        <v>60000</v>
      </c>
      <c r="H68" s="1094">
        <v>60000</v>
      </c>
      <c r="I68" s="1094">
        <v>0</v>
      </c>
      <c r="J68" s="1094">
        <f t="shared" ref="J68:J81" si="29">H68+I68</f>
        <v>60000</v>
      </c>
      <c r="K68" s="1249">
        <v>11</v>
      </c>
      <c r="L68" s="1250">
        <v>1</v>
      </c>
      <c r="M68" s="1250"/>
      <c r="N68" s="1250"/>
      <c r="O68" s="1250">
        <v>2</v>
      </c>
      <c r="P68" s="1250"/>
      <c r="Q68" s="1251" t="s">
        <v>185</v>
      </c>
      <c r="R68" s="1251"/>
      <c r="S68" s="1186">
        <f>V68+Y68</f>
        <v>60000</v>
      </c>
      <c r="T68" s="1186">
        <v>0</v>
      </c>
      <c r="U68" s="1186">
        <f>S68</f>
        <v>60000</v>
      </c>
      <c r="V68" s="1071">
        <v>0</v>
      </c>
      <c r="W68" s="1071">
        <v>0</v>
      </c>
      <c r="X68" s="1071"/>
      <c r="Y68" s="1071">
        <v>60000</v>
      </c>
      <c r="Z68" s="1071"/>
      <c r="AA68" s="1071"/>
      <c r="AB68" s="1071">
        <v>60000</v>
      </c>
      <c r="AC68" s="1071"/>
      <c r="AD68" s="1071">
        <f>J68-Y68</f>
        <v>0</v>
      </c>
      <c r="AE68" s="1071"/>
      <c r="AF68" s="1071"/>
      <c r="AG68" s="1071"/>
      <c r="AH68" s="1071"/>
      <c r="AI68" s="1071"/>
      <c r="AJ68" s="1071"/>
      <c r="AK68" s="1071"/>
      <c r="AL68" s="1071"/>
      <c r="AM68" s="1071"/>
      <c r="AN68" s="1149" t="s">
        <v>460</v>
      </c>
      <c r="AO68" s="1072"/>
      <c r="AP68" s="1072"/>
      <c r="AQ68" s="1072"/>
      <c r="AR68" s="1092"/>
      <c r="AS68" s="1150" t="s">
        <v>433</v>
      </c>
      <c r="AT68" s="1150"/>
      <c r="AU68" s="1150"/>
      <c r="AV68" s="1150"/>
      <c r="AW68" s="1092"/>
      <c r="AX68" s="1092"/>
      <c r="AY68" s="1092"/>
      <c r="AZ68" s="1092"/>
      <c r="BA68" s="1092"/>
      <c r="BB68" s="1092"/>
      <c r="BC68" s="1092"/>
      <c r="BD68" s="1092"/>
      <c r="BE68" s="1092"/>
      <c r="BF68" s="1092"/>
      <c r="BG68" s="1092"/>
      <c r="BH68" s="1092"/>
      <c r="BI68" s="1092"/>
      <c r="BJ68" s="1092"/>
      <c r="BK68" s="1078"/>
      <c r="BL68" s="1092"/>
      <c r="BM68" s="1092"/>
      <c r="BN68" s="1092"/>
      <c r="BO68" s="1092"/>
      <c r="BP68" s="1092"/>
      <c r="BQ68" s="1092"/>
      <c r="BR68" s="1092"/>
      <c r="BS68" s="1092"/>
      <c r="BT68" s="1092"/>
      <c r="BU68" s="1092"/>
      <c r="BV68" s="1092"/>
      <c r="BW68" s="1092"/>
      <c r="BX68" s="1080"/>
      <c r="BY68" s="1092"/>
      <c r="BZ68" s="1089"/>
      <c r="CA68" s="1082"/>
      <c r="CB68" s="1092"/>
      <c r="CC68" s="1092"/>
      <c r="CD68" s="1092"/>
      <c r="CE68" s="1092"/>
      <c r="CF68" s="1092"/>
      <c r="CG68" s="1092"/>
      <c r="CH68" s="1092"/>
      <c r="CI68" s="1092"/>
      <c r="CJ68" s="1092"/>
      <c r="CK68" s="1092"/>
      <c r="CL68" s="1092"/>
      <c r="CM68" s="1092"/>
      <c r="CN68" s="1092"/>
      <c r="CO68" s="1092"/>
      <c r="CP68" s="1092"/>
    </row>
    <row r="69" spans="1:94" s="209" customFormat="1" ht="60" customHeight="1" x14ac:dyDescent="0.6">
      <c r="A69" s="1069">
        <v>2</v>
      </c>
      <c r="B69" s="1069">
        <v>2</v>
      </c>
      <c r="C69" s="1109" t="s">
        <v>407</v>
      </c>
      <c r="D69" s="1070" t="s">
        <v>334</v>
      </c>
      <c r="E69" s="1094">
        <v>25000</v>
      </c>
      <c r="F69" s="1094">
        <v>0</v>
      </c>
      <c r="G69" s="1094">
        <f t="shared" si="28"/>
        <v>25000</v>
      </c>
      <c r="H69" s="1094">
        <v>25000</v>
      </c>
      <c r="I69" s="1094">
        <v>0</v>
      </c>
      <c r="J69" s="1094">
        <f t="shared" si="29"/>
        <v>25000</v>
      </c>
      <c r="K69" s="1249">
        <v>11</v>
      </c>
      <c r="L69" s="1250">
        <v>12</v>
      </c>
      <c r="M69" s="1250"/>
      <c r="N69" s="1250"/>
      <c r="O69" s="1250">
        <v>2</v>
      </c>
      <c r="P69" s="1250"/>
      <c r="Q69" s="1251" t="s">
        <v>185</v>
      </c>
      <c r="R69" s="1251"/>
      <c r="S69" s="1186">
        <f t="shared" ref="S69:S80" si="30">V69+Y69</f>
        <v>25000</v>
      </c>
      <c r="T69" s="1186">
        <v>0</v>
      </c>
      <c r="U69" s="1186">
        <f t="shared" ref="U69:U81" si="31">S69</f>
        <v>25000</v>
      </c>
      <c r="V69" s="1071">
        <v>0</v>
      </c>
      <c r="W69" s="1071">
        <v>0</v>
      </c>
      <c r="X69" s="1071"/>
      <c r="Y69" s="1071">
        <v>25000</v>
      </c>
      <c r="Z69" s="1071"/>
      <c r="AA69" s="1071"/>
      <c r="AB69" s="1071">
        <v>25000</v>
      </c>
      <c r="AC69" s="1071"/>
      <c r="AD69" s="1071">
        <f t="shared" ref="AD69:AD81" si="32">J69-Y69</f>
        <v>0</v>
      </c>
      <c r="AE69" s="1071"/>
      <c r="AF69" s="1071">
        <v>0</v>
      </c>
      <c r="AG69" s="1071"/>
      <c r="AH69" s="1071"/>
      <c r="AI69" s="1071"/>
      <c r="AJ69" s="1071"/>
      <c r="AK69" s="1071"/>
      <c r="AL69" s="1071"/>
      <c r="AM69" s="1071"/>
      <c r="AN69" s="1149" t="s">
        <v>461</v>
      </c>
      <c r="AO69" s="1072"/>
      <c r="AP69" s="1072"/>
      <c r="AQ69" s="1072" t="s">
        <v>402</v>
      </c>
      <c r="AR69" s="1092"/>
      <c r="AS69" s="1092"/>
      <c r="AT69" s="1092"/>
      <c r="AU69" s="1092"/>
      <c r="AV69" s="1092"/>
      <c r="AW69" s="1092"/>
      <c r="AX69" s="1092"/>
      <c r="AY69" s="1092"/>
      <c r="AZ69" s="1092"/>
      <c r="BA69" s="1092"/>
      <c r="BB69" s="1092"/>
      <c r="BC69" s="1092"/>
      <c r="BD69" s="1092"/>
      <c r="BE69" s="1092"/>
      <c r="BF69" s="1092"/>
      <c r="BG69" s="1092"/>
      <c r="BH69" s="1092"/>
      <c r="BI69" s="1092"/>
      <c r="BJ69" s="1092"/>
      <c r="BK69" s="1078"/>
      <c r="BL69" s="1092"/>
      <c r="BM69" s="1092"/>
      <c r="BN69" s="1092"/>
      <c r="BO69" s="1092"/>
      <c r="BP69" s="1092"/>
      <c r="BQ69" s="1092"/>
      <c r="BR69" s="1092"/>
      <c r="BS69" s="1092"/>
      <c r="BT69" s="1092"/>
      <c r="BU69" s="1092"/>
      <c r="BV69" s="1092"/>
      <c r="BW69" s="1092"/>
      <c r="BX69" s="1080"/>
      <c r="BY69" s="1092"/>
      <c r="BZ69" s="1089"/>
      <c r="CA69" s="1082"/>
      <c r="CB69" s="1092"/>
      <c r="CC69" s="1092"/>
      <c r="CD69" s="1092"/>
      <c r="CE69" s="1092"/>
      <c r="CF69" s="1092"/>
      <c r="CG69" s="1092"/>
      <c r="CH69" s="1092"/>
      <c r="CI69" s="1092"/>
      <c r="CJ69" s="1092"/>
      <c r="CK69" s="1092"/>
      <c r="CL69" s="1092"/>
      <c r="CM69" s="1092"/>
      <c r="CN69" s="1092"/>
      <c r="CO69" s="1092"/>
      <c r="CP69" s="1092"/>
    </row>
    <row r="70" spans="1:94" s="209" customFormat="1" ht="54" customHeight="1" x14ac:dyDescent="0.6">
      <c r="A70" s="1069">
        <v>3</v>
      </c>
      <c r="B70" s="1069">
        <v>3</v>
      </c>
      <c r="C70" s="1109" t="s">
        <v>437</v>
      </c>
      <c r="D70" s="1070" t="s">
        <v>334</v>
      </c>
      <c r="E70" s="1094">
        <v>60000</v>
      </c>
      <c r="F70" s="1094">
        <v>0</v>
      </c>
      <c r="G70" s="1094">
        <f t="shared" si="28"/>
        <v>60000</v>
      </c>
      <c r="H70" s="1094">
        <v>60000</v>
      </c>
      <c r="I70" s="1094">
        <v>0</v>
      </c>
      <c r="J70" s="1094">
        <f t="shared" si="29"/>
        <v>60000</v>
      </c>
      <c r="K70" s="1249">
        <v>11</v>
      </c>
      <c r="L70" s="1250">
        <v>11</v>
      </c>
      <c r="M70" s="1250"/>
      <c r="N70" s="1250"/>
      <c r="O70" s="1250">
        <v>3</v>
      </c>
      <c r="P70" s="1250"/>
      <c r="Q70" s="1251" t="s">
        <v>185</v>
      </c>
      <c r="R70" s="1251"/>
      <c r="S70" s="1186">
        <f t="shared" si="30"/>
        <v>60000</v>
      </c>
      <c r="T70" s="1186">
        <v>0</v>
      </c>
      <c r="U70" s="1186">
        <f t="shared" si="31"/>
        <v>60000</v>
      </c>
      <c r="V70" s="1071">
        <v>0</v>
      </c>
      <c r="W70" s="1071">
        <v>0</v>
      </c>
      <c r="X70" s="1071"/>
      <c r="Y70" s="1071">
        <v>60000</v>
      </c>
      <c r="Z70" s="1071"/>
      <c r="AA70" s="1071"/>
      <c r="AB70" s="1071">
        <v>60000</v>
      </c>
      <c r="AC70" s="1071"/>
      <c r="AD70" s="1071">
        <f t="shared" si="32"/>
        <v>0</v>
      </c>
      <c r="AE70" s="1071"/>
      <c r="AF70" s="1071">
        <v>0</v>
      </c>
      <c r="AG70" s="1071"/>
      <c r="AH70" s="1071"/>
      <c r="AI70" s="1071"/>
      <c r="AJ70" s="1071"/>
      <c r="AK70" s="1071"/>
      <c r="AL70" s="1071"/>
      <c r="AM70" s="1071"/>
      <c r="AN70" s="1149" t="s">
        <v>462</v>
      </c>
      <c r="AO70" s="1072"/>
      <c r="AP70" s="1072"/>
      <c r="AQ70" s="1072" t="s">
        <v>403</v>
      </c>
      <c r="AR70" s="1092"/>
      <c r="AS70" s="1092"/>
      <c r="AT70" s="1092"/>
      <c r="AU70" s="1092"/>
      <c r="AV70" s="1092"/>
      <c r="AW70" s="1092"/>
      <c r="AX70" s="1092"/>
      <c r="AY70" s="1092"/>
      <c r="AZ70" s="1092"/>
      <c r="BA70" s="1092"/>
      <c r="BB70" s="1092"/>
      <c r="BC70" s="1092"/>
      <c r="BD70" s="1092"/>
      <c r="BE70" s="1092"/>
      <c r="BF70" s="1092"/>
      <c r="BG70" s="1092"/>
      <c r="BH70" s="1092"/>
      <c r="BI70" s="1092"/>
      <c r="BJ70" s="1092"/>
      <c r="BK70" s="1078"/>
      <c r="BL70" s="1092"/>
      <c r="BM70" s="1092"/>
      <c r="BN70" s="1092"/>
      <c r="BO70" s="1092"/>
      <c r="BP70" s="1092"/>
      <c r="BQ70" s="1092"/>
      <c r="BR70" s="1092"/>
      <c r="BS70" s="1092"/>
      <c r="BT70" s="1092"/>
      <c r="BU70" s="1092"/>
      <c r="BV70" s="1092"/>
      <c r="BW70" s="1092"/>
      <c r="BX70" s="1080"/>
      <c r="BY70" s="1092"/>
      <c r="BZ70" s="1089"/>
      <c r="CA70" s="1082"/>
      <c r="CB70" s="1092"/>
      <c r="CC70" s="1092"/>
      <c r="CD70" s="1092"/>
      <c r="CE70" s="1092"/>
      <c r="CF70" s="1092"/>
      <c r="CG70" s="1092"/>
      <c r="CH70" s="1092"/>
      <c r="CI70" s="1092"/>
      <c r="CJ70" s="1092"/>
      <c r="CK70" s="1092"/>
      <c r="CL70" s="1092"/>
      <c r="CM70" s="1092"/>
      <c r="CN70" s="1092"/>
      <c r="CO70" s="1092"/>
      <c r="CP70" s="1092"/>
    </row>
    <row r="71" spans="1:94" s="209" customFormat="1" ht="78" customHeight="1" x14ac:dyDescent="0.6">
      <c r="A71" s="1069">
        <v>4</v>
      </c>
      <c r="B71" s="1069">
        <v>4</v>
      </c>
      <c r="C71" s="1109" t="s">
        <v>285</v>
      </c>
      <c r="D71" s="1070" t="s">
        <v>334</v>
      </c>
      <c r="E71" s="1094">
        <v>372000</v>
      </c>
      <c r="F71" s="1094">
        <v>0</v>
      </c>
      <c r="G71" s="1094">
        <f t="shared" si="28"/>
        <v>372000</v>
      </c>
      <c r="H71" s="1094">
        <f>372000-34400</f>
        <v>337600</v>
      </c>
      <c r="I71" s="1094">
        <v>0</v>
      </c>
      <c r="J71" s="1094">
        <f>H71+I71</f>
        <v>337600</v>
      </c>
      <c r="K71" s="1249">
        <v>11</v>
      </c>
      <c r="L71" s="1250">
        <v>11</v>
      </c>
      <c r="M71" s="1250"/>
      <c r="N71" s="1250"/>
      <c r="O71" s="1250">
        <v>2</v>
      </c>
      <c r="P71" s="1250"/>
      <c r="Q71" s="1251" t="s">
        <v>185</v>
      </c>
      <c r="R71" s="1251"/>
      <c r="S71" s="1186">
        <f t="shared" si="30"/>
        <v>337600</v>
      </c>
      <c r="T71" s="1186">
        <v>0</v>
      </c>
      <c r="U71" s="1186">
        <f t="shared" si="31"/>
        <v>337600</v>
      </c>
      <c r="V71" s="1071">
        <v>0</v>
      </c>
      <c r="W71" s="1071">
        <v>0</v>
      </c>
      <c r="X71" s="1071"/>
      <c r="Y71" s="1071">
        <f>100800+136000+100800</f>
        <v>337600</v>
      </c>
      <c r="Z71" s="1071"/>
      <c r="AA71" s="1071"/>
      <c r="AB71" s="1071">
        <v>337600</v>
      </c>
      <c r="AC71" s="1071"/>
      <c r="AD71" s="1071">
        <v>0</v>
      </c>
      <c r="AE71" s="1071"/>
      <c r="AF71" s="1071">
        <v>0</v>
      </c>
      <c r="AG71" s="1071"/>
      <c r="AH71" s="1071"/>
      <c r="AI71" s="1071">
        <f>34400-AK71</f>
        <v>0</v>
      </c>
      <c r="AJ71" s="1071"/>
      <c r="AK71" s="1071">
        <v>34400</v>
      </c>
      <c r="AL71" s="1071"/>
      <c r="AM71" s="1071"/>
      <c r="AN71" s="1149" t="s">
        <v>463</v>
      </c>
      <c r="AO71" s="1072"/>
      <c r="AP71" s="1072"/>
      <c r="AQ71" s="1072"/>
      <c r="AR71" s="1110" t="s">
        <v>423</v>
      </c>
      <c r="AS71" s="1110"/>
      <c r="AT71" s="1110"/>
      <c r="AU71" s="1110"/>
      <c r="AV71" s="1110"/>
      <c r="AW71" s="1092"/>
      <c r="AX71" s="1092"/>
      <c r="AY71" s="1092"/>
      <c r="AZ71" s="1092"/>
      <c r="BA71" s="1092"/>
      <c r="BB71" s="1092"/>
      <c r="BC71" s="1092"/>
      <c r="BD71" s="1092"/>
      <c r="BE71" s="1092"/>
      <c r="BF71" s="1092"/>
      <c r="BG71" s="1092"/>
      <c r="BH71" s="1092"/>
      <c r="BI71" s="1092"/>
      <c r="BJ71" s="1092"/>
      <c r="BK71" s="1078"/>
      <c r="BL71" s="1092"/>
      <c r="BM71" s="1092"/>
      <c r="BN71" s="1092"/>
      <c r="BO71" s="1092"/>
      <c r="BP71" s="1092"/>
      <c r="BQ71" s="1092"/>
      <c r="BR71" s="1092"/>
      <c r="BS71" s="1092"/>
      <c r="BT71" s="1092"/>
      <c r="BU71" s="1092"/>
      <c r="BV71" s="1092"/>
      <c r="BW71" s="1092"/>
      <c r="BX71" s="1080"/>
      <c r="BY71" s="1092"/>
      <c r="BZ71" s="1089"/>
      <c r="CA71" s="1082"/>
      <c r="CB71" s="1092"/>
      <c r="CC71" s="1092"/>
      <c r="CD71" s="1092"/>
      <c r="CE71" s="1092"/>
      <c r="CF71" s="1092"/>
      <c r="CG71" s="1092"/>
      <c r="CH71" s="1092"/>
      <c r="CI71" s="1092"/>
      <c r="CJ71" s="1092"/>
      <c r="CK71" s="1092"/>
      <c r="CL71" s="1092"/>
      <c r="CM71" s="1092"/>
      <c r="CN71" s="1092"/>
      <c r="CO71" s="1092"/>
      <c r="CP71" s="1092"/>
    </row>
    <row r="72" spans="1:94" s="209" customFormat="1" ht="66.75" customHeight="1" x14ac:dyDescent="0.6">
      <c r="A72" s="1069">
        <v>5</v>
      </c>
      <c r="B72" s="1069">
        <v>5</v>
      </c>
      <c r="C72" s="1109" t="s">
        <v>286</v>
      </c>
      <c r="D72" s="1070" t="s">
        <v>334</v>
      </c>
      <c r="E72" s="1094">
        <v>75000</v>
      </c>
      <c r="F72" s="1094">
        <v>0</v>
      </c>
      <c r="G72" s="1094">
        <f t="shared" si="28"/>
        <v>75000</v>
      </c>
      <c r="H72" s="1094">
        <v>75000</v>
      </c>
      <c r="I72" s="1094">
        <v>0</v>
      </c>
      <c r="J72" s="1094">
        <f t="shared" si="29"/>
        <v>75000</v>
      </c>
      <c r="K72" s="1249">
        <v>11</v>
      </c>
      <c r="L72" s="1250">
        <v>3</v>
      </c>
      <c r="M72" s="1250"/>
      <c r="N72" s="1250"/>
      <c r="O72" s="1250">
        <v>2</v>
      </c>
      <c r="P72" s="1250"/>
      <c r="Q72" s="1251" t="s">
        <v>185</v>
      </c>
      <c r="R72" s="1251"/>
      <c r="S72" s="1186">
        <f t="shared" si="30"/>
        <v>75000</v>
      </c>
      <c r="T72" s="1186">
        <v>0</v>
      </c>
      <c r="U72" s="1186">
        <f t="shared" si="31"/>
        <v>75000</v>
      </c>
      <c r="V72" s="1071">
        <v>0</v>
      </c>
      <c r="W72" s="1071">
        <v>0</v>
      </c>
      <c r="X72" s="1071"/>
      <c r="Y72" s="1071">
        <f>28000+47000</f>
        <v>75000</v>
      </c>
      <c r="Z72" s="1071"/>
      <c r="AA72" s="1071"/>
      <c r="AB72" s="1071">
        <v>75000</v>
      </c>
      <c r="AC72" s="1071"/>
      <c r="AD72" s="1071">
        <f t="shared" si="32"/>
        <v>0</v>
      </c>
      <c r="AE72" s="1071"/>
      <c r="AF72" s="1071">
        <v>0</v>
      </c>
      <c r="AG72" s="1071"/>
      <c r="AH72" s="1071"/>
      <c r="AI72" s="1071"/>
      <c r="AJ72" s="1071"/>
      <c r="AK72" s="1071"/>
      <c r="AL72" s="1071"/>
      <c r="AM72" s="1071"/>
      <c r="AN72" s="1149" t="s">
        <v>342</v>
      </c>
      <c r="AO72" s="1072"/>
      <c r="AP72" s="1072"/>
      <c r="AQ72" s="1072"/>
      <c r="AR72" s="1092"/>
      <c r="AS72" s="1092"/>
      <c r="AT72" s="1092"/>
      <c r="AU72" s="1092"/>
      <c r="AV72" s="1092"/>
      <c r="AW72" s="1092"/>
      <c r="AX72" s="1092"/>
      <c r="AY72" s="1092"/>
      <c r="AZ72" s="1092"/>
      <c r="BA72" s="1092"/>
      <c r="BB72" s="1092"/>
      <c r="BC72" s="1092"/>
      <c r="BD72" s="1092"/>
      <c r="BE72" s="1092"/>
      <c r="BF72" s="1092"/>
      <c r="BG72" s="1092"/>
      <c r="BH72" s="1092"/>
      <c r="BI72" s="1092"/>
      <c r="BJ72" s="1092"/>
      <c r="BK72" s="1181" t="s">
        <v>494</v>
      </c>
      <c r="BL72" s="1092"/>
      <c r="BM72" s="1092"/>
      <c r="BN72" s="1092"/>
      <c r="BO72" s="1092"/>
      <c r="BP72" s="1092"/>
      <c r="BQ72" s="1092"/>
      <c r="BR72" s="1092"/>
      <c r="BS72" s="1092"/>
      <c r="BT72" s="1092"/>
      <c r="BU72" s="1092"/>
      <c r="BV72" s="1092"/>
      <c r="BW72" s="1092"/>
      <c r="BX72" s="1080"/>
      <c r="BY72" s="1092"/>
      <c r="BZ72" s="1089"/>
      <c r="CA72" s="1082"/>
      <c r="CB72" s="1092"/>
      <c r="CC72" s="1092"/>
      <c r="CD72" s="1092"/>
      <c r="CE72" s="1092"/>
      <c r="CF72" s="1092"/>
      <c r="CG72" s="1092"/>
      <c r="CH72" s="1092"/>
      <c r="CI72" s="1092"/>
      <c r="CJ72" s="1092"/>
      <c r="CK72" s="1092"/>
      <c r="CL72" s="1092"/>
      <c r="CM72" s="1092"/>
      <c r="CN72" s="1092"/>
      <c r="CO72" s="1092"/>
      <c r="CP72" s="1092"/>
    </row>
    <row r="73" spans="1:94" s="209" customFormat="1" ht="76.5" customHeight="1" x14ac:dyDescent="0.6">
      <c r="A73" s="1069">
        <v>6</v>
      </c>
      <c r="B73" s="1069">
        <v>6</v>
      </c>
      <c r="C73" s="1109" t="s">
        <v>287</v>
      </c>
      <c r="D73" s="1070" t="s">
        <v>334</v>
      </c>
      <c r="E73" s="1094">
        <v>480000</v>
      </c>
      <c r="F73" s="1094">
        <v>0</v>
      </c>
      <c r="G73" s="1094">
        <f t="shared" si="28"/>
        <v>480000</v>
      </c>
      <c r="H73" s="1094">
        <v>480000</v>
      </c>
      <c r="I73" s="1094">
        <v>0</v>
      </c>
      <c r="J73" s="1094">
        <f t="shared" si="29"/>
        <v>480000</v>
      </c>
      <c r="K73" s="1249">
        <v>11</v>
      </c>
      <c r="L73" s="1250">
        <v>3</v>
      </c>
      <c r="M73" s="1250"/>
      <c r="N73" s="1250"/>
      <c r="O73" s="1250">
        <v>2</v>
      </c>
      <c r="P73" s="1250"/>
      <c r="Q73" s="1251" t="s">
        <v>185</v>
      </c>
      <c r="R73" s="1251"/>
      <c r="S73" s="1186">
        <f t="shared" si="30"/>
        <v>480000</v>
      </c>
      <c r="T73" s="1186">
        <v>0</v>
      </c>
      <c r="U73" s="1186">
        <f t="shared" si="31"/>
        <v>480000</v>
      </c>
      <c r="V73" s="1071">
        <v>0</v>
      </c>
      <c r="W73" s="1071">
        <v>0</v>
      </c>
      <c r="X73" s="1071"/>
      <c r="Y73" s="1071">
        <f>168000+312000</f>
        <v>480000</v>
      </c>
      <c r="Z73" s="1071"/>
      <c r="AA73" s="1071"/>
      <c r="AB73" s="1071">
        <v>480000</v>
      </c>
      <c r="AC73" s="1071"/>
      <c r="AD73" s="1071">
        <f t="shared" si="32"/>
        <v>0</v>
      </c>
      <c r="AE73" s="1071"/>
      <c r="AF73" s="1071">
        <v>0</v>
      </c>
      <c r="AG73" s="1071"/>
      <c r="AH73" s="1071"/>
      <c r="AI73" s="1071"/>
      <c r="AJ73" s="1071"/>
      <c r="AK73" s="1071"/>
      <c r="AL73" s="1071"/>
      <c r="AM73" s="1071"/>
      <c r="AN73" s="1149" t="s">
        <v>343</v>
      </c>
      <c r="AO73" s="1072"/>
      <c r="AP73" s="1072"/>
      <c r="AQ73" s="1072"/>
      <c r="AR73" s="1092"/>
      <c r="AS73" s="1092"/>
      <c r="AT73" s="1092"/>
      <c r="AU73" s="1092"/>
      <c r="AV73" s="1092"/>
      <c r="AW73" s="1092"/>
      <c r="AX73" s="1092"/>
      <c r="AY73" s="1092"/>
      <c r="AZ73" s="1092"/>
      <c r="BA73" s="1092"/>
      <c r="BB73" s="1092"/>
      <c r="BC73" s="1092"/>
      <c r="BD73" s="1092"/>
      <c r="BE73" s="1092"/>
      <c r="BF73" s="1092"/>
      <c r="BG73" s="1092"/>
      <c r="BH73" s="1092"/>
      <c r="BI73" s="1092"/>
      <c r="BJ73" s="1092"/>
      <c r="BK73" s="1181" t="s">
        <v>495</v>
      </c>
      <c r="BL73" s="1092"/>
      <c r="BM73" s="1092"/>
      <c r="BN73" s="1092"/>
      <c r="BO73" s="1092"/>
      <c r="BP73" s="1092"/>
      <c r="BQ73" s="1092"/>
      <c r="BR73" s="1092"/>
      <c r="BS73" s="1092"/>
      <c r="BT73" s="1092"/>
      <c r="BU73" s="1092"/>
      <c r="BV73" s="1092"/>
      <c r="BW73" s="1092"/>
      <c r="BX73" s="1080"/>
      <c r="BY73" s="1092"/>
      <c r="BZ73" s="1089"/>
      <c r="CA73" s="1082"/>
      <c r="CB73" s="1092"/>
      <c r="CC73" s="1092"/>
      <c r="CD73" s="1092"/>
      <c r="CE73" s="1092"/>
      <c r="CF73" s="1092"/>
      <c r="CG73" s="1092"/>
      <c r="CH73" s="1092"/>
      <c r="CI73" s="1092"/>
      <c r="CJ73" s="1092"/>
      <c r="CK73" s="1092"/>
      <c r="CL73" s="1092"/>
      <c r="CM73" s="1092"/>
      <c r="CN73" s="1092"/>
      <c r="CO73" s="1092"/>
      <c r="CP73" s="1092"/>
    </row>
    <row r="74" spans="1:94" s="209" customFormat="1" ht="77.25" customHeight="1" x14ac:dyDescent="0.6">
      <c r="A74" s="1069">
        <v>7</v>
      </c>
      <c r="B74" s="1069">
        <v>7</v>
      </c>
      <c r="C74" s="1109" t="s">
        <v>288</v>
      </c>
      <c r="D74" s="1070" t="s">
        <v>334</v>
      </c>
      <c r="E74" s="1094">
        <v>407000</v>
      </c>
      <c r="F74" s="1094">
        <v>0</v>
      </c>
      <c r="G74" s="1094">
        <f t="shared" si="28"/>
        <v>407000</v>
      </c>
      <c r="H74" s="1094">
        <f>407000-163800</f>
        <v>243200</v>
      </c>
      <c r="I74" s="1094">
        <v>0</v>
      </c>
      <c r="J74" s="1094">
        <f>H74+I74</f>
        <v>243200</v>
      </c>
      <c r="K74" s="1249">
        <v>11</v>
      </c>
      <c r="L74" s="1250">
        <v>2</v>
      </c>
      <c r="M74" s="1250"/>
      <c r="N74" s="1250"/>
      <c r="O74" s="1250">
        <v>2</v>
      </c>
      <c r="P74" s="1250"/>
      <c r="Q74" s="1251" t="s">
        <v>185</v>
      </c>
      <c r="R74" s="1251"/>
      <c r="S74" s="1186">
        <v>238166.04</v>
      </c>
      <c r="T74" s="1186">
        <v>0</v>
      </c>
      <c r="U74" s="1186">
        <f t="shared" si="31"/>
        <v>238166.04</v>
      </c>
      <c r="V74" s="1071">
        <v>0</v>
      </c>
      <c r="W74" s="1071">
        <v>0</v>
      </c>
      <c r="X74" s="1071"/>
      <c r="Y74" s="1071">
        <f>65000+173166.04</f>
        <v>238166.04</v>
      </c>
      <c r="Z74" s="1071"/>
      <c r="AA74" s="1071"/>
      <c r="AB74" s="1071">
        <v>238166.04</v>
      </c>
      <c r="AC74" s="1071"/>
      <c r="AD74" s="1071">
        <v>0</v>
      </c>
      <c r="AE74" s="1071"/>
      <c r="AF74" s="1071">
        <v>0</v>
      </c>
      <c r="AG74" s="1071">
        <v>5033.96</v>
      </c>
      <c r="AH74" s="1071"/>
      <c r="AI74" s="1071">
        <f>168833.96-AK74</f>
        <v>33.959999999991851</v>
      </c>
      <c r="AJ74" s="1071"/>
      <c r="AK74" s="1071">
        <v>168800</v>
      </c>
      <c r="AL74" s="1071"/>
      <c r="AM74" s="1071"/>
      <c r="AN74" s="1149" t="s">
        <v>344</v>
      </c>
      <c r="AO74" s="1072"/>
      <c r="AP74" s="1072"/>
      <c r="AQ74" s="1072"/>
      <c r="AR74" s="1092"/>
      <c r="AS74" s="1092"/>
      <c r="AT74" s="1092"/>
      <c r="AU74" s="1092"/>
      <c r="AV74" s="1092"/>
      <c r="AW74" s="1092"/>
      <c r="AX74" s="1092" t="s">
        <v>470</v>
      </c>
      <c r="AY74" s="1092"/>
      <c r="AZ74" s="1092"/>
      <c r="BA74" s="1092"/>
      <c r="BB74" s="1092"/>
      <c r="BC74" s="1092"/>
      <c r="BD74" s="1092"/>
      <c r="BE74" s="1092"/>
      <c r="BF74" s="1092"/>
      <c r="BG74" s="1092"/>
      <c r="BH74" s="1092"/>
      <c r="BI74" s="1092"/>
      <c r="BJ74" s="1092"/>
      <c r="BK74" s="1078"/>
      <c r="BL74" s="1128">
        <f>177600-173166.04</f>
        <v>4433.9599999999919</v>
      </c>
      <c r="BM74" s="1092"/>
      <c r="BN74" s="1092"/>
      <c r="BO74" s="1092"/>
      <c r="BP74" s="1092"/>
      <c r="BQ74" s="1092"/>
      <c r="BR74" s="1092"/>
      <c r="BS74" s="1092"/>
      <c r="BT74" s="1092"/>
      <c r="BU74" s="1092"/>
      <c r="BV74" s="1092"/>
      <c r="BW74" s="1092"/>
      <c r="BX74" s="1080"/>
      <c r="BY74" s="1092"/>
      <c r="BZ74" s="1089"/>
      <c r="CA74" s="1082"/>
      <c r="CB74" s="1092"/>
      <c r="CC74" s="1092"/>
      <c r="CD74" s="1092"/>
      <c r="CE74" s="1092"/>
      <c r="CF74" s="1092"/>
      <c r="CG74" s="1092"/>
      <c r="CH74" s="1092"/>
      <c r="CI74" s="1092"/>
      <c r="CJ74" s="1092"/>
      <c r="CK74" s="1092"/>
      <c r="CL74" s="1092"/>
      <c r="CM74" s="1092"/>
      <c r="CN74" s="1092"/>
      <c r="CO74" s="1092"/>
      <c r="CP74" s="1092"/>
    </row>
    <row r="75" spans="1:94" s="209" customFormat="1" ht="63" customHeight="1" x14ac:dyDescent="0.6">
      <c r="A75" s="1187">
        <v>8</v>
      </c>
      <c r="B75" s="1187">
        <v>8</v>
      </c>
      <c r="C75" s="1188" t="s">
        <v>289</v>
      </c>
      <c r="D75" s="1070" t="s">
        <v>334</v>
      </c>
      <c r="E75" s="1094">
        <v>100000</v>
      </c>
      <c r="F75" s="1094">
        <v>0</v>
      </c>
      <c r="G75" s="1094">
        <v>100000</v>
      </c>
      <c r="H75" s="1094">
        <v>0</v>
      </c>
      <c r="I75" s="1094">
        <v>0</v>
      </c>
      <c r="J75" s="1094">
        <v>0</v>
      </c>
      <c r="K75" s="1296">
        <v>3</v>
      </c>
      <c r="L75" s="1297">
        <v>5</v>
      </c>
      <c r="M75" s="1297"/>
      <c r="N75" s="1297"/>
      <c r="O75" s="1297">
        <v>1</v>
      </c>
      <c r="P75" s="1297"/>
      <c r="Q75" s="1298" t="s">
        <v>185</v>
      </c>
      <c r="R75" s="1298"/>
      <c r="S75" s="1186">
        <f t="shared" si="30"/>
        <v>0</v>
      </c>
      <c r="T75" s="1189">
        <v>0</v>
      </c>
      <c r="U75" s="1186">
        <f t="shared" si="31"/>
        <v>0</v>
      </c>
      <c r="V75" s="1071">
        <v>0</v>
      </c>
      <c r="W75" s="1071">
        <v>0</v>
      </c>
      <c r="X75" s="1071"/>
      <c r="Y75" s="1071">
        <v>0</v>
      </c>
      <c r="Z75" s="1071"/>
      <c r="AA75" s="1071"/>
      <c r="AB75" s="1071">
        <v>0</v>
      </c>
      <c r="AC75" s="1071"/>
      <c r="AD75" s="1071">
        <v>0</v>
      </c>
      <c r="AE75" s="1071"/>
      <c r="AF75" s="1071">
        <v>0</v>
      </c>
      <c r="AG75" s="1071"/>
      <c r="AH75" s="1071"/>
      <c r="AI75" s="1071">
        <f>100000-AK75</f>
        <v>0</v>
      </c>
      <c r="AJ75" s="1071"/>
      <c r="AK75" s="1071">
        <v>100000</v>
      </c>
      <c r="AL75" s="1071"/>
      <c r="AM75" s="1071"/>
      <c r="AN75" s="1149" t="s">
        <v>670</v>
      </c>
      <c r="AO75" s="1072"/>
      <c r="AP75" s="1072"/>
      <c r="AQ75" s="1072"/>
      <c r="AR75" s="1092"/>
      <c r="AS75" s="1092"/>
      <c r="AT75" s="1092"/>
      <c r="AU75" s="1092"/>
      <c r="AV75" s="1092"/>
      <c r="AW75" s="1092"/>
      <c r="AX75" s="1092"/>
      <c r="AY75" s="1092"/>
      <c r="AZ75" s="1092"/>
      <c r="BA75" s="1092"/>
      <c r="BB75" s="1092"/>
      <c r="BC75" s="1092"/>
      <c r="BD75" s="1092"/>
      <c r="BE75" s="1092"/>
      <c r="BF75" s="1092"/>
      <c r="BG75" s="1092"/>
      <c r="BH75" s="1092"/>
      <c r="BI75" s="1092"/>
      <c r="BJ75" s="1092"/>
      <c r="BK75" s="1078"/>
      <c r="BL75" s="1092"/>
      <c r="BM75" s="1092"/>
      <c r="BN75" s="1092"/>
      <c r="BO75" s="1092"/>
      <c r="BP75" s="1092"/>
      <c r="BQ75" s="1092"/>
      <c r="BR75" s="1092"/>
      <c r="BS75" s="1092"/>
      <c r="BT75" s="1092"/>
      <c r="BU75" s="1092"/>
      <c r="BV75" s="1092"/>
      <c r="BW75" s="1092"/>
      <c r="BX75" s="1080"/>
      <c r="BY75" s="1092"/>
      <c r="BZ75" s="1089"/>
      <c r="CA75" s="1082"/>
      <c r="CB75" s="1092"/>
      <c r="CC75" s="1092"/>
      <c r="CD75" s="1092"/>
      <c r="CE75" s="1092"/>
      <c r="CF75" s="1092"/>
      <c r="CG75" s="1092"/>
      <c r="CH75" s="1092"/>
      <c r="CI75" s="1092"/>
      <c r="CJ75" s="1092"/>
      <c r="CK75" s="1092"/>
      <c r="CL75" s="1092"/>
      <c r="CM75" s="1092"/>
      <c r="CN75" s="1092"/>
      <c r="CO75" s="1092"/>
      <c r="CP75" s="1092"/>
    </row>
    <row r="76" spans="1:94" s="209" customFormat="1" ht="84.75" customHeight="1" x14ac:dyDescent="0.6">
      <c r="A76" s="1069">
        <v>9</v>
      </c>
      <c r="B76" s="1069">
        <v>9</v>
      </c>
      <c r="C76" s="1109" t="s">
        <v>290</v>
      </c>
      <c r="D76" s="1070" t="s">
        <v>334</v>
      </c>
      <c r="E76" s="1094">
        <v>242500</v>
      </c>
      <c r="F76" s="1094">
        <v>0</v>
      </c>
      <c r="G76" s="1094">
        <f t="shared" ref="G76:G81" si="33">E76+F76</f>
        <v>242500</v>
      </c>
      <c r="H76" s="1094">
        <v>242500</v>
      </c>
      <c r="I76" s="1094">
        <v>0</v>
      </c>
      <c r="J76" s="1094">
        <f t="shared" si="29"/>
        <v>242500</v>
      </c>
      <c r="K76" s="1249">
        <v>5</v>
      </c>
      <c r="L76" s="1250">
        <v>6</v>
      </c>
      <c r="M76" s="1250"/>
      <c r="N76" s="1250"/>
      <c r="O76" s="1250">
        <v>1</v>
      </c>
      <c r="P76" s="1250"/>
      <c r="Q76" s="1251" t="s">
        <v>185</v>
      </c>
      <c r="R76" s="1251"/>
      <c r="S76" s="1186">
        <v>227100</v>
      </c>
      <c r="T76" s="1186">
        <v>0</v>
      </c>
      <c r="U76" s="1186">
        <v>227100</v>
      </c>
      <c r="V76" s="1071">
        <v>0</v>
      </c>
      <c r="W76" s="1071">
        <v>0</v>
      </c>
      <c r="X76" s="1071"/>
      <c r="Y76" s="1071">
        <v>227100</v>
      </c>
      <c r="Z76" s="1071"/>
      <c r="AA76" s="1071"/>
      <c r="AB76" s="1071">
        <v>227100</v>
      </c>
      <c r="AC76" s="1071"/>
      <c r="AD76" s="1071">
        <v>0</v>
      </c>
      <c r="AE76" s="1071"/>
      <c r="AF76" s="1071">
        <v>0</v>
      </c>
      <c r="AG76" s="1071">
        <v>15400</v>
      </c>
      <c r="AH76" s="1071"/>
      <c r="AI76" s="1071"/>
      <c r="AJ76" s="1071"/>
      <c r="AK76" s="1071"/>
      <c r="AL76" s="1071"/>
      <c r="AM76" s="1071"/>
      <c r="AN76" s="1149" t="s">
        <v>346</v>
      </c>
      <c r="AO76" s="1090"/>
      <c r="AP76" s="1090"/>
      <c r="AQ76" s="1090"/>
      <c r="AR76" s="1092"/>
      <c r="AS76" s="1092"/>
      <c r="AT76" s="1092"/>
      <c r="AU76" s="1092"/>
      <c r="AV76" s="1092"/>
      <c r="AW76" s="1092"/>
      <c r="AX76" s="1092"/>
      <c r="AY76" s="1092"/>
      <c r="AZ76" s="1092"/>
      <c r="BA76" s="1092"/>
      <c r="BB76" s="1092"/>
      <c r="BC76" s="1092"/>
      <c r="BD76" s="1092"/>
      <c r="BE76" s="1092"/>
      <c r="BF76" s="1092"/>
      <c r="BG76" s="1092"/>
      <c r="BH76" s="1092"/>
      <c r="BI76" s="1092"/>
      <c r="BJ76" s="1092"/>
      <c r="BK76" s="1078"/>
      <c r="BL76" s="1092"/>
      <c r="BM76" s="1092"/>
      <c r="BN76" s="1092"/>
      <c r="BO76" s="1092"/>
      <c r="BP76" s="1092"/>
      <c r="BQ76" s="1092"/>
      <c r="BR76" s="1092"/>
      <c r="BS76" s="1092"/>
      <c r="BT76" s="1092"/>
      <c r="BU76" s="1092"/>
      <c r="BV76" s="1092"/>
      <c r="BW76" s="1092"/>
      <c r="BX76" s="1080"/>
      <c r="BY76" s="1092"/>
      <c r="BZ76" s="1089"/>
      <c r="CA76" s="1082"/>
      <c r="CB76" s="1092"/>
      <c r="CC76" s="1092"/>
      <c r="CD76" s="1092"/>
      <c r="CE76" s="1092"/>
      <c r="CF76" s="1092"/>
      <c r="CG76" s="1092"/>
      <c r="CH76" s="1092"/>
      <c r="CI76" s="1092"/>
      <c r="CJ76" s="1092"/>
      <c r="CK76" s="1092"/>
      <c r="CL76" s="1092"/>
      <c r="CM76" s="1092"/>
      <c r="CN76" s="1092"/>
      <c r="CO76" s="1092"/>
      <c r="CP76" s="1092"/>
    </row>
    <row r="77" spans="1:94" s="209" customFormat="1" ht="57.75" customHeight="1" x14ac:dyDescent="0.6">
      <c r="A77" s="1069">
        <v>10</v>
      </c>
      <c r="B77" s="1069">
        <v>10</v>
      </c>
      <c r="C77" s="1109" t="s">
        <v>291</v>
      </c>
      <c r="D77" s="1070" t="s">
        <v>334</v>
      </c>
      <c r="E77" s="1094">
        <v>1873000</v>
      </c>
      <c r="F77" s="1094">
        <v>0</v>
      </c>
      <c r="G77" s="1094">
        <f t="shared" si="33"/>
        <v>1873000</v>
      </c>
      <c r="H77" s="1094">
        <f>1873000-32000</f>
        <v>1841000</v>
      </c>
      <c r="I77" s="1094">
        <v>0</v>
      </c>
      <c r="J77" s="1094">
        <f>H77+I77</f>
        <v>1841000</v>
      </c>
      <c r="K77" s="1249">
        <v>11</v>
      </c>
      <c r="L77" s="1250">
        <v>7</v>
      </c>
      <c r="M77" s="1250"/>
      <c r="N77" s="1250"/>
      <c r="O77" s="1250">
        <v>2</v>
      </c>
      <c r="P77" s="1250"/>
      <c r="Q77" s="1251" t="s">
        <v>185</v>
      </c>
      <c r="R77" s="1251"/>
      <c r="S77" s="1186">
        <f t="shared" si="30"/>
        <v>1841000</v>
      </c>
      <c r="T77" s="1186">
        <v>0</v>
      </c>
      <c r="U77" s="1186">
        <f t="shared" si="31"/>
        <v>1841000</v>
      </c>
      <c r="V77" s="1071">
        <v>0</v>
      </c>
      <c r="W77" s="1071">
        <v>0</v>
      </c>
      <c r="X77" s="1071"/>
      <c r="Y77" s="1071">
        <f>1841000-886000+390000+496000</f>
        <v>1841000</v>
      </c>
      <c r="Z77" s="1071"/>
      <c r="AA77" s="1071"/>
      <c r="AB77" s="1071">
        <v>1841000</v>
      </c>
      <c r="AC77" s="1071"/>
      <c r="AD77" s="1071">
        <v>0</v>
      </c>
      <c r="AE77" s="1071"/>
      <c r="AF77" s="1071">
        <v>0</v>
      </c>
      <c r="AG77" s="1071"/>
      <c r="AH77" s="1071"/>
      <c r="AI77" s="1071">
        <f>32000-AK77</f>
        <v>0</v>
      </c>
      <c r="AJ77" s="1071"/>
      <c r="AK77" s="1071">
        <v>32000</v>
      </c>
      <c r="AL77" s="1071"/>
      <c r="AM77" s="1071"/>
      <c r="AN77" s="1149" t="s">
        <v>545</v>
      </c>
      <c r="AO77" s="1090"/>
      <c r="AP77" s="1090"/>
      <c r="AQ77" s="1090"/>
      <c r="AR77" s="1092"/>
      <c r="AS77" s="1092"/>
      <c r="AT77" s="1092"/>
      <c r="AU77" s="1092"/>
      <c r="AV77" s="1092"/>
      <c r="AW77" s="1092"/>
      <c r="AX77" s="1092"/>
      <c r="AY77" s="1092"/>
      <c r="AZ77" s="1092"/>
      <c r="BA77" s="1092"/>
      <c r="BB77" s="1092"/>
      <c r="BC77" s="1092"/>
      <c r="BD77" s="1092"/>
      <c r="BE77" s="1092"/>
      <c r="BF77" s="1092"/>
      <c r="BG77" s="1092"/>
      <c r="BH77" s="1092"/>
      <c r="BI77" s="1092"/>
      <c r="BJ77" s="1092"/>
      <c r="BK77" s="1078"/>
      <c r="BL77" s="1092"/>
      <c r="BM77" s="1092"/>
      <c r="BN77" s="1092"/>
      <c r="BO77" s="1092"/>
      <c r="BP77" s="1092"/>
      <c r="BQ77" s="1092"/>
      <c r="BR77" s="1092"/>
      <c r="BS77" s="1092"/>
      <c r="BT77" s="1092"/>
      <c r="BU77" s="1092"/>
      <c r="BV77" s="1092"/>
      <c r="BW77" s="1092"/>
      <c r="BX77" s="1080"/>
      <c r="BY77" s="1092"/>
      <c r="BZ77" s="1089"/>
      <c r="CA77" s="1082"/>
      <c r="CB77" s="1092"/>
      <c r="CC77" s="1092"/>
      <c r="CD77" s="1092"/>
      <c r="CE77" s="1092"/>
      <c r="CF77" s="1092"/>
      <c r="CG77" s="1092"/>
      <c r="CH77" s="1092"/>
      <c r="CI77" s="1092"/>
      <c r="CJ77" s="1092"/>
      <c r="CK77" s="1092"/>
      <c r="CL77" s="1092"/>
      <c r="CM77" s="1092"/>
      <c r="CN77" s="1092"/>
      <c r="CO77" s="1092"/>
      <c r="CP77" s="1092"/>
    </row>
    <row r="78" spans="1:94" s="209" customFormat="1" ht="63" x14ac:dyDescent="0.6">
      <c r="A78" s="1069">
        <v>11</v>
      </c>
      <c r="B78" s="1069">
        <v>11</v>
      </c>
      <c r="C78" s="1109" t="s">
        <v>622</v>
      </c>
      <c r="D78" s="1070" t="s">
        <v>334</v>
      </c>
      <c r="E78" s="1094">
        <v>27600</v>
      </c>
      <c r="F78" s="1094">
        <v>0</v>
      </c>
      <c r="G78" s="1094">
        <f t="shared" si="33"/>
        <v>27600</v>
      </c>
      <c r="H78" s="1094">
        <v>27600</v>
      </c>
      <c r="I78" s="1094">
        <v>0</v>
      </c>
      <c r="J78" s="1094">
        <f t="shared" si="29"/>
        <v>27600</v>
      </c>
      <c r="K78" s="1249">
        <v>11</v>
      </c>
      <c r="L78" s="1250">
        <v>5</v>
      </c>
      <c r="M78" s="1250"/>
      <c r="N78" s="1250"/>
      <c r="O78" s="1250">
        <v>2</v>
      </c>
      <c r="P78" s="1250"/>
      <c r="Q78" s="1251" t="s">
        <v>185</v>
      </c>
      <c r="R78" s="1251"/>
      <c r="S78" s="1186">
        <v>27600</v>
      </c>
      <c r="T78" s="1186">
        <v>0</v>
      </c>
      <c r="U78" s="1186">
        <f t="shared" si="31"/>
        <v>27600</v>
      </c>
      <c r="V78" s="1071">
        <v>0</v>
      </c>
      <c r="W78" s="1071">
        <v>0</v>
      </c>
      <c r="X78" s="1071"/>
      <c r="Y78" s="1071">
        <f>13800+13800</f>
        <v>27600</v>
      </c>
      <c r="Z78" s="1071"/>
      <c r="AA78" s="1071"/>
      <c r="AB78" s="1071">
        <f>13800+13800</f>
        <v>27600</v>
      </c>
      <c r="AC78" s="1071"/>
      <c r="AD78" s="1071">
        <f t="shared" si="32"/>
        <v>0</v>
      </c>
      <c r="AE78" s="1071"/>
      <c r="AF78" s="1071">
        <v>0</v>
      </c>
      <c r="AG78" s="1071"/>
      <c r="AH78" s="1071"/>
      <c r="AI78" s="1071"/>
      <c r="AJ78" s="1071"/>
      <c r="AK78" s="1071"/>
      <c r="AL78" s="1071"/>
      <c r="AM78" s="1071"/>
      <c r="AN78" s="1149" t="s">
        <v>540</v>
      </c>
      <c r="AO78" s="1090"/>
      <c r="AP78" s="1090"/>
      <c r="AQ78" s="1090"/>
      <c r="AR78" s="1092"/>
      <c r="AS78" s="1092"/>
      <c r="AT78" s="1092"/>
      <c r="AU78" s="1092"/>
      <c r="AV78" s="1092"/>
      <c r="AW78" s="1092"/>
      <c r="AX78" s="1092"/>
      <c r="AY78" s="1092"/>
      <c r="AZ78" s="1092"/>
      <c r="BA78" s="1092"/>
      <c r="BB78" s="1092"/>
      <c r="BC78" s="1092"/>
      <c r="BD78" s="1092"/>
      <c r="BE78" s="1092"/>
      <c r="BF78" s="1092"/>
      <c r="BG78" s="1092"/>
      <c r="BH78" s="1092"/>
      <c r="BI78" s="1092"/>
      <c r="BJ78" s="1092"/>
      <c r="BK78" s="1078"/>
      <c r="BL78" s="1092"/>
      <c r="BM78" s="1092"/>
      <c r="BN78" s="1092"/>
      <c r="BO78" s="1092"/>
      <c r="BP78" s="1092"/>
      <c r="BQ78" s="1092"/>
      <c r="BR78" s="1092"/>
      <c r="BS78" s="1092"/>
      <c r="BT78" s="1092"/>
      <c r="BU78" s="1092"/>
      <c r="BV78" s="1092"/>
      <c r="BW78" s="1092"/>
      <c r="BX78" s="1080"/>
      <c r="BY78" s="1092"/>
      <c r="BZ78" s="1089"/>
      <c r="CA78" s="1082"/>
      <c r="CB78" s="1092"/>
      <c r="CC78" s="1092"/>
      <c r="CD78" s="1092"/>
      <c r="CE78" s="1092"/>
      <c r="CF78" s="1092"/>
      <c r="CG78" s="1092"/>
      <c r="CH78" s="1092"/>
      <c r="CI78" s="1092"/>
      <c r="CJ78" s="1092"/>
      <c r="CK78" s="1092"/>
      <c r="CL78" s="1092"/>
      <c r="CM78" s="1092"/>
      <c r="CN78" s="1092"/>
      <c r="CO78" s="1092"/>
      <c r="CP78" s="1092"/>
    </row>
    <row r="79" spans="1:94" s="209" customFormat="1" ht="55.5" customHeight="1" x14ac:dyDescent="0.6">
      <c r="A79" s="1069">
        <v>12</v>
      </c>
      <c r="B79" s="1069">
        <v>12</v>
      </c>
      <c r="C79" s="1109" t="s">
        <v>293</v>
      </c>
      <c r="D79" s="1070" t="s">
        <v>334</v>
      </c>
      <c r="E79" s="1094">
        <v>20400</v>
      </c>
      <c r="F79" s="1094">
        <v>0</v>
      </c>
      <c r="G79" s="1094">
        <f t="shared" si="33"/>
        <v>20400</v>
      </c>
      <c r="H79" s="1094">
        <v>20400</v>
      </c>
      <c r="I79" s="1094">
        <v>0</v>
      </c>
      <c r="J79" s="1094">
        <f t="shared" si="29"/>
        <v>20400</v>
      </c>
      <c r="K79" s="1249">
        <v>11</v>
      </c>
      <c r="L79" s="1250">
        <v>12</v>
      </c>
      <c r="M79" s="1250"/>
      <c r="N79" s="1250"/>
      <c r="O79" s="1250">
        <v>2</v>
      </c>
      <c r="P79" s="1250"/>
      <c r="Q79" s="1251" t="s">
        <v>185</v>
      </c>
      <c r="R79" s="1251"/>
      <c r="S79" s="1186">
        <f t="shared" si="30"/>
        <v>20400</v>
      </c>
      <c r="T79" s="1186">
        <v>0</v>
      </c>
      <c r="U79" s="1186">
        <f t="shared" si="31"/>
        <v>20400</v>
      </c>
      <c r="V79" s="1071">
        <v>0</v>
      </c>
      <c r="W79" s="1071">
        <v>0</v>
      </c>
      <c r="X79" s="1071"/>
      <c r="Y79" s="1071">
        <v>20400</v>
      </c>
      <c r="Z79" s="1071"/>
      <c r="AA79" s="1071"/>
      <c r="AB79" s="1071">
        <v>20400</v>
      </c>
      <c r="AC79" s="1071"/>
      <c r="AD79" s="1071">
        <f t="shared" si="32"/>
        <v>0</v>
      </c>
      <c r="AE79" s="1071"/>
      <c r="AF79" s="1071">
        <v>0</v>
      </c>
      <c r="AG79" s="1071"/>
      <c r="AH79" s="1071"/>
      <c r="AI79" s="1071"/>
      <c r="AJ79" s="1071"/>
      <c r="AK79" s="1071"/>
      <c r="AL79" s="1071"/>
      <c r="AM79" s="1071"/>
      <c r="AN79" s="1149" t="s">
        <v>444</v>
      </c>
      <c r="AO79" s="1090"/>
      <c r="AP79" s="1190">
        <v>20400</v>
      </c>
      <c r="AQ79" s="1190" t="s">
        <v>406</v>
      </c>
      <c r="AR79" s="1092"/>
      <c r="AS79" s="1092"/>
      <c r="AT79" s="1092"/>
      <c r="AU79" s="1092"/>
      <c r="AV79" s="1092"/>
      <c r="AW79" s="1092"/>
      <c r="AX79" s="1092"/>
      <c r="AY79" s="1092"/>
      <c r="AZ79" s="1092"/>
      <c r="BA79" s="1092"/>
      <c r="BB79" s="1092"/>
      <c r="BC79" s="1092"/>
      <c r="BD79" s="1092"/>
      <c r="BE79" s="1092"/>
      <c r="BF79" s="1092"/>
      <c r="BG79" s="1092"/>
      <c r="BH79" s="1092"/>
      <c r="BI79" s="1092"/>
      <c r="BJ79" s="1092"/>
      <c r="BK79" s="1078"/>
      <c r="BL79" s="1092"/>
      <c r="BM79" s="1092"/>
      <c r="BN79" s="1092"/>
      <c r="BO79" s="1092"/>
      <c r="BP79" s="1092"/>
      <c r="BQ79" s="1092"/>
      <c r="BR79" s="1092"/>
      <c r="BS79" s="1092"/>
      <c r="BT79" s="1092"/>
      <c r="BU79" s="1092"/>
      <c r="BV79" s="1092"/>
      <c r="BW79" s="1092"/>
      <c r="BX79" s="1080"/>
      <c r="BY79" s="1092"/>
      <c r="BZ79" s="1089"/>
      <c r="CA79" s="1082"/>
      <c r="CB79" s="1092"/>
      <c r="CC79" s="1092"/>
      <c r="CD79" s="1092"/>
      <c r="CE79" s="1092"/>
      <c r="CF79" s="1092"/>
      <c r="CG79" s="1092"/>
      <c r="CH79" s="1092"/>
      <c r="CI79" s="1092"/>
      <c r="CJ79" s="1092"/>
      <c r="CK79" s="1092"/>
      <c r="CL79" s="1092"/>
      <c r="CM79" s="1092"/>
      <c r="CN79" s="1092"/>
      <c r="CO79" s="1092"/>
      <c r="CP79" s="1092"/>
    </row>
    <row r="80" spans="1:94" s="209" customFormat="1" ht="45" customHeight="1" x14ac:dyDescent="0.6">
      <c r="A80" s="1187">
        <v>13</v>
      </c>
      <c r="B80" s="1187">
        <v>13</v>
      </c>
      <c r="C80" s="1188" t="s">
        <v>434</v>
      </c>
      <c r="D80" s="1070" t="s">
        <v>334</v>
      </c>
      <c r="E80" s="1094">
        <v>171800</v>
      </c>
      <c r="F80" s="1094">
        <v>0</v>
      </c>
      <c r="G80" s="1094">
        <f t="shared" si="33"/>
        <v>171800</v>
      </c>
      <c r="H80" s="1094">
        <v>171800</v>
      </c>
      <c r="I80" s="1094">
        <v>0</v>
      </c>
      <c r="J80" s="1094">
        <f t="shared" si="29"/>
        <v>171800</v>
      </c>
      <c r="K80" s="1296">
        <v>11</v>
      </c>
      <c r="L80" s="1297">
        <v>1</v>
      </c>
      <c r="M80" s="1297"/>
      <c r="N80" s="1297"/>
      <c r="O80" s="1297">
        <v>2</v>
      </c>
      <c r="P80" s="1297"/>
      <c r="Q80" s="1298" t="s">
        <v>185</v>
      </c>
      <c r="R80" s="1298"/>
      <c r="S80" s="1186">
        <f t="shared" si="30"/>
        <v>171800</v>
      </c>
      <c r="T80" s="1189">
        <v>0</v>
      </c>
      <c r="U80" s="1186">
        <f t="shared" si="31"/>
        <v>171800</v>
      </c>
      <c r="V80" s="1071">
        <v>0</v>
      </c>
      <c r="W80" s="1071">
        <v>0</v>
      </c>
      <c r="X80" s="1071"/>
      <c r="Y80" s="1071">
        <v>171800</v>
      </c>
      <c r="Z80" s="1071"/>
      <c r="AA80" s="1071"/>
      <c r="AB80" s="1071">
        <v>171800</v>
      </c>
      <c r="AC80" s="1071"/>
      <c r="AD80" s="1071">
        <f t="shared" si="32"/>
        <v>0</v>
      </c>
      <c r="AE80" s="1071"/>
      <c r="AF80" s="1071">
        <v>0</v>
      </c>
      <c r="AG80" s="1071"/>
      <c r="AH80" s="1071"/>
      <c r="AI80" s="1071"/>
      <c r="AJ80" s="1071"/>
      <c r="AK80" s="1071"/>
      <c r="AL80" s="1071"/>
      <c r="AM80" s="1071"/>
      <c r="AN80" s="1149" t="s">
        <v>350</v>
      </c>
      <c r="AO80" s="1090"/>
      <c r="AP80" s="1090"/>
      <c r="AQ80" s="1090"/>
      <c r="AR80" s="1092"/>
      <c r="AS80" s="1110" t="s">
        <v>435</v>
      </c>
      <c r="AT80" s="1110"/>
      <c r="AU80" s="1110"/>
      <c r="AV80" s="1110"/>
      <c r="AW80" s="1092"/>
      <c r="AX80" s="1092"/>
      <c r="AY80" s="1092"/>
      <c r="AZ80" s="1092"/>
      <c r="BA80" s="1092"/>
      <c r="BB80" s="1092"/>
      <c r="BC80" s="1092"/>
      <c r="BD80" s="1092"/>
      <c r="BE80" s="1092"/>
      <c r="BF80" s="1092"/>
      <c r="BG80" s="1092"/>
      <c r="BH80" s="1092"/>
      <c r="BI80" s="1092"/>
      <c r="BJ80" s="1092"/>
      <c r="BK80" s="1078"/>
      <c r="BL80" s="1092"/>
      <c r="BM80" s="1092"/>
      <c r="BN80" s="1092"/>
      <c r="BO80" s="1092"/>
      <c r="BP80" s="1092"/>
      <c r="BQ80" s="1092"/>
      <c r="BR80" s="1092"/>
      <c r="BS80" s="1092"/>
      <c r="BT80" s="1092"/>
      <c r="BU80" s="1092"/>
      <c r="BV80" s="1092"/>
      <c r="BW80" s="1092"/>
      <c r="BX80" s="1080"/>
      <c r="BY80" s="1092"/>
      <c r="BZ80" s="1089"/>
      <c r="CA80" s="1082"/>
      <c r="CB80" s="1092"/>
      <c r="CC80" s="1092"/>
      <c r="CD80" s="1092"/>
      <c r="CE80" s="1092"/>
      <c r="CF80" s="1092"/>
      <c r="CG80" s="1092"/>
      <c r="CH80" s="1092"/>
      <c r="CI80" s="1092"/>
      <c r="CJ80" s="1092"/>
      <c r="CK80" s="1092"/>
      <c r="CL80" s="1092"/>
      <c r="CM80" s="1092"/>
      <c r="CN80" s="1092"/>
      <c r="CO80" s="1092"/>
      <c r="CP80" s="1092"/>
    </row>
    <row r="81" spans="1:94" s="209" customFormat="1" ht="75.75" customHeight="1" x14ac:dyDescent="0.6">
      <c r="A81" s="1069">
        <v>14</v>
      </c>
      <c r="B81" s="1069">
        <v>14</v>
      </c>
      <c r="C81" s="1109" t="s">
        <v>480</v>
      </c>
      <c r="D81" s="1070" t="s">
        <v>334</v>
      </c>
      <c r="E81" s="1094">
        <v>119200</v>
      </c>
      <c r="F81" s="1094">
        <v>0</v>
      </c>
      <c r="G81" s="1094">
        <f t="shared" si="33"/>
        <v>119200</v>
      </c>
      <c r="H81" s="1094">
        <v>119200</v>
      </c>
      <c r="I81" s="1094">
        <v>0</v>
      </c>
      <c r="J81" s="1094">
        <f t="shared" si="29"/>
        <v>119200</v>
      </c>
      <c r="K81" s="1249">
        <v>11</v>
      </c>
      <c r="L81" s="1250">
        <v>1</v>
      </c>
      <c r="M81" s="1250"/>
      <c r="N81" s="1250"/>
      <c r="O81" s="1250">
        <v>2</v>
      </c>
      <c r="P81" s="1250"/>
      <c r="Q81" s="1251" t="s">
        <v>185</v>
      </c>
      <c r="R81" s="1251"/>
      <c r="S81" s="1186">
        <v>119200</v>
      </c>
      <c r="T81" s="1186">
        <v>0</v>
      </c>
      <c r="U81" s="1186">
        <f t="shared" si="31"/>
        <v>119200</v>
      </c>
      <c r="V81" s="1071">
        <v>0</v>
      </c>
      <c r="W81" s="1071">
        <v>0</v>
      </c>
      <c r="X81" s="1071"/>
      <c r="Y81" s="1071">
        <v>119200</v>
      </c>
      <c r="Z81" s="1071"/>
      <c r="AA81" s="1071"/>
      <c r="AB81" s="1071">
        <v>119200</v>
      </c>
      <c r="AC81" s="1071"/>
      <c r="AD81" s="1071">
        <f t="shared" si="32"/>
        <v>0</v>
      </c>
      <c r="AE81" s="1071"/>
      <c r="AF81" s="1071">
        <v>0</v>
      </c>
      <c r="AG81" s="1071"/>
      <c r="AH81" s="1071"/>
      <c r="AI81" s="1071"/>
      <c r="AJ81" s="1071"/>
      <c r="AK81" s="1071"/>
      <c r="AL81" s="1071"/>
      <c r="AM81" s="1071"/>
      <c r="AN81" s="1149" t="s">
        <v>541</v>
      </c>
      <c r="AO81" s="1090"/>
      <c r="AP81" s="1090"/>
      <c r="AQ81" s="1090"/>
      <c r="AR81" s="1092"/>
      <c r="AS81" s="1092"/>
      <c r="AT81" s="1092"/>
      <c r="AU81" s="1092"/>
      <c r="AV81" s="1092"/>
      <c r="AW81" s="1092"/>
      <c r="AX81" s="1092"/>
      <c r="AY81" s="1092"/>
      <c r="AZ81" s="1127"/>
      <c r="BA81" s="1127"/>
      <c r="BB81" s="1092"/>
      <c r="BC81" s="1092"/>
      <c r="BD81" s="1092"/>
      <c r="BE81" s="1092"/>
      <c r="BF81" s="1092"/>
      <c r="BG81" s="1092"/>
      <c r="BH81" s="1092"/>
      <c r="BI81" s="1092"/>
      <c r="BJ81" s="1092"/>
      <c r="BK81" s="1078"/>
      <c r="BL81" s="1092"/>
      <c r="BM81" s="1092"/>
      <c r="BN81" s="1092"/>
      <c r="BO81" s="1092"/>
      <c r="BP81" s="1092"/>
      <c r="BQ81" s="1092"/>
      <c r="BR81" s="1092"/>
      <c r="BS81" s="1092"/>
      <c r="BT81" s="1092"/>
      <c r="BU81" s="1092"/>
      <c r="BV81" s="1092"/>
      <c r="BW81" s="1092"/>
      <c r="BX81" s="1080"/>
      <c r="BY81" s="1092"/>
      <c r="BZ81" s="1089"/>
      <c r="CA81" s="1082"/>
      <c r="CB81" s="1092"/>
      <c r="CC81" s="1092"/>
      <c r="CD81" s="1092"/>
      <c r="CE81" s="1092"/>
      <c r="CF81" s="1092"/>
      <c r="CG81" s="1092"/>
      <c r="CH81" s="1092"/>
      <c r="CI81" s="1092"/>
      <c r="CJ81" s="1092"/>
      <c r="CK81" s="1092"/>
      <c r="CL81" s="1092"/>
      <c r="CM81" s="1092"/>
      <c r="CN81" s="1092"/>
      <c r="CO81" s="1092"/>
      <c r="CP81" s="1092"/>
    </row>
    <row r="82" spans="1:94" s="638" customFormat="1" ht="57.75" customHeight="1" x14ac:dyDescent="0.2">
      <c r="A82" s="1157"/>
      <c r="B82" s="1157"/>
      <c r="C82" s="1158" t="s">
        <v>607</v>
      </c>
      <c r="D82" s="1239"/>
      <c r="E82" s="1240">
        <f>E83+E86+E88+E90+E92+E95+E96</f>
        <v>1288400</v>
      </c>
      <c r="F82" s="1240">
        <f>F83+F86+F88+F90+F92+F95+F96</f>
        <v>97870000</v>
      </c>
      <c r="G82" s="1240">
        <f>G83+G86+G88+G90+G92+G95+G96</f>
        <v>99158400</v>
      </c>
      <c r="H82" s="1240">
        <f>H83+H86+H88+H90+H92+H95+H96</f>
        <v>2100400</v>
      </c>
      <c r="I82" s="1240">
        <f t="shared" ref="I82:J82" si="34">I83+I86+I88+I90+I92+I95+I96</f>
        <v>96548000</v>
      </c>
      <c r="J82" s="1240">
        <f t="shared" si="34"/>
        <v>98648400</v>
      </c>
      <c r="K82" s="1241">
        <f t="shared" ref="K82:AM82" si="35">K83+K86+K88+K90+K92+K95+K96</f>
        <v>0</v>
      </c>
      <c r="L82" s="1238">
        <f t="shared" si="35"/>
        <v>0</v>
      </c>
      <c r="M82" s="1238">
        <f t="shared" si="35"/>
        <v>0</v>
      </c>
      <c r="N82" s="1238">
        <f t="shared" si="35"/>
        <v>0</v>
      </c>
      <c r="O82" s="1238">
        <f t="shared" si="35"/>
        <v>0</v>
      </c>
      <c r="P82" s="1238">
        <f t="shared" si="35"/>
        <v>0</v>
      </c>
      <c r="Q82" s="1238">
        <f t="shared" si="35"/>
        <v>0</v>
      </c>
      <c r="R82" s="1238">
        <f t="shared" si="35"/>
        <v>0</v>
      </c>
      <c r="S82" s="1238">
        <f>S83+S86+S88+S90+S92+S95+S96</f>
        <v>2100400</v>
      </c>
      <c r="T82" s="1238">
        <f t="shared" ref="T82:U82" si="36">T83+T86+T88+T90+T92+T95+T96</f>
        <v>96548000</v>
      </c>
      <c r="U82" s="1238">
        <f t="shared" si="36"/>
        <v>98648400</v>
      </c>
      <c r="V82" s="1238">
        <f t="shared" si="35"/>
        <v>58178080</v>
      </c>
      <c r="W82" s="1238">
        <f t="shared" si="35"/>
        <v>24573280</v>
      </c>
      <c r="X82" s="1238">
        <f t="shared" si="35"/>
        <v>0</v>
      </c>
      <c r="Y82" s="1238">
        <f t="shared" si="35"/>
        <v>61344080</v>
      </c>
      <c r="Z82" s="1238">
        <f t="shared" si="35"/>
        <v>0</v>
      </c>
      <c r="AA82" s="1238">
        <f t="shared" si="35"/>
        <v>0</v>
      </c>
      <c r="AB82" s="1238">
        <f t="shared" si="35"/>
        <v>1600400</v>
      </c>
      <c r="AC82" s="1238">
        <f t="shared" si="35"/>
        <v>59743680</v>
      </c>
      <c r="AD82" s="1238">
        <f t="shared" si="35"/>
        <v>0</v>
      </c>
      <c r="AE82" s="1238">
        <f t="shared" si="35"/>
        <v>0</v>
      </c>
      <c r="AF82" s="1238">
        <f t="shared" si="35"/>
        <v>37304320</v>
      </c>
      <c r="AG82" s="1238">
        <f t="shared" si="35"/>
        <v>0</v>
      </c>
      <c r="AH82" s="1238">
        <f t="shared" si="35"/>
        <v>0</v>
      </c>
      <c r="AI82" s="1238">
        <f t="shared" si="35"/>
        <v>0</v>
      </c>
      <c r="AJ82" s="1238">
        <f t="shared" si="35"/>
        <v>0</v>
      </c>
      <c r="AK82" s="1238">
        <f t="shared" si="35"/>
        <v>0</v>
      </c>
      <c r="AL82" s="1238">
        <f t="shared" si="35"/>
        <v>0</v>
      </c>
      <c r="AM82" s="1238">
        <f t="shared" si="35"/>
        <v>0</v>
      </c>
      <c r="AN82" s="1026">
        <f>Y82+AF82+AG82</f>
        <v>98648400</v>
      </c>
      <c r="AO82" s="1026"/>
      <c r="AP82" s="1026"/>
      <c r="AQ82" s="1026"/>
      <c r="AR82" s="1110"/>
      <c r="AS82" s="1110"/>
      <c r="AT82" s="1110"/>
      <c r="AU82" s="1110"/>
      <c r="AV82" s="1110"/>
      <c r="AW82" s="1191"/>
      <c r="AX82" s="1191"/>
      <c r="AY82" s="1191"/>
      <c r="AZ82" s="1192">
        <f>AZ86+AZ88+AZ90+AZ92</f>
        <v>312000</v>
      </c>
      <c r="BA82" s="1192"/>
      <c r="BB82" s="1193">
        <v>792400</v>
      </c>
      <c r="BC82" s="1193">
        <v>0</v>
      </c>
      <c r="BD82" s="1194">
        <f>792400+4152000</f>
        <v>4944400</v>
      </c>
      <c r="BE82" s="1194">
        <f>BD82-Y82</f>
        <v>-56399680</v>
      </c>
      <c r="BF82" s="1194">
        <f>4152000+792400</f>
        <v>4944400</v>
      </c>
      <c r="BG82" s="1191">
        <f>BF82-Y82</f>
        <v>-56399680</v>
      </c>
      <c r="BH82" s="1110"/>
      <c r="BI82" s="1195">
        <f>4152000+792400</f>
        <v>4944400</v>
      </c>
      <c r="BJ82" s="1164">
        <f>BI82-Y82</f>
        <v>-56399680</v>
      </c>
      <c r="BK82" s="1124">
        <f>7163584+3106800+1288400</f>
        <v>11558784</v>
      </c>
      <c r="BL82" s="1168">
        <f>7163584+3106800+1288400</f>
        <v>11558784</v>
      </c>
      <c r="BM82" s="1164">
        <f>BL82-Y82</f>
        <v>-49785296</v>
      </c>
      <c r="BN82" s="1168">
        <f>20516416+7163584+25390000+17588000+22783200+3106800+1288400</f>
        <v>97836400</v>
      </c>
      <c r="BO82" s="1164">
        <f>V82-BN82</f>
        <v>-39658320</v>
      </c>
      <c r="BP82" s="1152">
        <f>7163584+3106800+1288400</f>
        <v>11558784</v>
      </c>
      <c r="BQ82" s="1164">
        <f>BP82-Y82</f>
        <v>-49785296</v>
      </c>
      <c r="BR82" s="1110"/>
      <c r="BS82" s="1196">
        <f>7163584+3106800+1288400</f>
        <v>11558784</v>
      </c>
      <c r="BT82" s="1164">
        <f>BS82-Y82</f>
        <v>-49785296</v>
      </c>
      <c r="BU82" s="1124">
        <f>32491612</f>
        <v>32491612</v>
      </c>
      <c r="BV82" s="1164">
        <f>BU82-Y82</f>
        <v>-28852468</v>
      </c>
      <c r="BW82" s="1110"/>
      <c r="BX82" s="1197">
        <f>13186752+3808500+11520140+6213600+1600400</f>
        <v>36329392</v>
      </c>
      <c r="BY82" s="1164">
        <f>BX82-Y82</f>
        <v>-25014688</v>
      </c>
      <c r="BZ82" s="1153">
        <v>40470320</v>
      </c>
      <c r="CA82" s="1153"/>
      <c r="CB82" s="1110"/>
      <c r="CC82" s="1110"/>
      <c r="CD82" s="1110"/>
      <c r="CE82" s="1110"/>
      <c r="CF82" s="1110"/>
      <c r="CG82" s="1110"/>
      <c r="CH82" s="1110"/>
      <c r="CI82" s="1110"/>
      <c r="CJ82" s="1110"/>
      <c r="CK82" s="1110"/>
      <c r="CL82" s="1110"/>
      <c r="CM82" s="1110"/>
      <c r="CN82" s="1110"/>
      <c r="CO82" s="1110"/>
      <c r="CP82" s="1110"/>
    </row>
    <row r="83" spans="1:94" s="603" customFormat="1" ht="61.5" customHeight="1" x14ac:dyDescent="0.6">
      <c r="A83" s="1083">
        <v>15</v>
      </c>
      <c r="B83" s="1083"/>
      <c r="C83" s="1084" t="s">
        <v>295</v>
      </c>
      <c r="D83" s="1085" t="s">
        <v>296</v>
      </c>
      <c r="E83" s="1147">
        <f t="shared" ref="E83:J83" si="37">SUM(E84:E85)</f>
        <v>1288400</v>
      </c>
      <c r="F83" s="1147">
        <f t="shared" si="37"/>
        <v>0</v>
      </c>
      <c r="G83" s="1147">
        <f t="shared" si="37"/>
        <v>1288400</v>
      </c>
      <c r="H83" s="1147">
        <f t="shared" si="37"/>
        <v>1288400</v>
      </c>
      <c r="I83" s="1147">
        <f t="shared" si="37"/>
        <v>0</v>
      </c>
      <c r="J83" s="1147">
        <f t="shared" si="37"/>
        <v>1288400</v>
      </c>
      <c r="K83" s="1177"/>
      <c r="L83" s="1178"/>
      <c r="M83" s="1178"/>
      <c r="N83" s="1178"/>
      <c r="O83" s="1178"/>
      <c r="P83" s="1178"/>
      <c r="Q83" s="1179"/>
      <c r="R83" s="1179"/>
      <c r="S83" s="1180">
        <f>S84+S85</f>
        <v>1288400</v>
      </c>
      <c r="T83" s="1180">
        <f>T84+T85</f>
        <v>0</v>
      </c>
      <c r="U83" s="1180">
        <f>S83+T83</f>
        <v>1288400</v>
      </c>
      <c r="V83" s="1086">
        <f>V84+V85</f>
        <v>0</v>
      </c>
      <c r="W83" s="1086">
        <f>SUM(W84:W85)</f>
        <v>0</v>
      </c>
      <c r="X83" s="1086"/>
      <c r="Y83" s="1086">
        <f>SUM(Y84:Y85)</f>
        <v>1288400</v>
      </c>
      <c r="Z83" s="1086"/>
      <c r="AA83" s="1086"/>
      <c r="AB83" s="1086">
        <f>Y83</f>
        <v>1288400</v>
      </c>
      <c r="AC83" s="1086">
        <v>0</v>
      </c>
      <c r="AD83" s="1086">
        <f>J83-Y83</f>
        <v>0</v>
      </c>
      <c r="AE83" s="1086"/>
      <c r="AF83" s="1086">
        <f>SUM(AF84:AF85)</f>
        <v>0</v>
      </c>
      <c r="AG83" s="1086"/>
      <c r="AH83" s="1086"/>
      <c r="AI83" s="1086">
        <v>0</v>
      </c>
      <c r="AJ83" s="1086"/>
      <c r="AK83" s="1086"/>
      <c r="AL83" s="1086"/>
      <c r="AM83" s="1086"/>
      <c r="AN83" s="1140" t="s">
        <v>498</v>
      </c>
      <c r="AO83" s="1088"/>
      <c r="AP83" s="1088"/>
      <c r="AQ83" s="1088"/>
      <c r="AR83" s="1092"/>
      <c r="AS83" s="1092"/>
      <c r="AT83" s="1092"/>
      <c r="AU83" s="1092"/>
      <c r="AV83" s="1092"/>
      <c r="AW83" s="1092"/>
      <c r="AX83" s="1092"/>
      <c r="AY83" s="1092"/>
      <c r="AZ83" s="1092"/>
      <c r="BA83" s="1092"/>
      <c r="BB83" s="1127"/>
      <c r="BC83" s="1092"/>
      <c r="BD83" s="1092"/>
      <c r="BE83" s="1092"/>
      <c r="BF83" s="1092"/>
      <c r="BG83" s="1092"/>
      <c r="BH83" s="1092"/>
      <c r="BI83" s="1092"/>
      <c r="BJ83" s="1092"/>
      <c r="BK83" s="1078"/>
      <c r="BL83" s="1092"/>
      <c r="BM83" s="1092"/>
      <c r="BN83" s="1092"/>
      <c r="BO83" s="1092"/>
      <c r="BP83" s="1092"/>
      <c r="BQ83" s="1092"/>
      <c r="BR83" s="1092"/>
      <c r="BS83" s="1092"/>
      <c r="BT83" s="1092"/>
      <c r="BU83" s="1092"/>
      <c r="BV83" s="1092"/>
      <c r="BW83" s="1092"/>
      <c r="BX83" s="1080"/>
      <c r="BY83" s="1092"/>
      <c r="BZ83" s="1089"/>
      <c r="CA83" s="1082"/>
      <c r="CB83" s="1092"/>
      <c r="CC83" s="1092"/>
      <c r="CD83" s="1092"/>
      <c r="CE83" s="1092"/>
      <c r="CF83" s="1092"/>
      <c r="CG83" s="1092"/>
      <c r="CH83" s="1092"/>
      <c r="CI83" s="1092"/>
      <c r="CJ83" s="1092"/>
      <c r="CK83" s="1092"/>
      <c r="CL83" s="1092"/>
      <c r="CM83" s="1092"/>
      <c r="CN83" s="1092"/>
      <c r="CO83" s="1092"/>
      <c r="CP83" s="1092"/>
    </row>
    <row r="84" spans="1:94" s="209" customFormat="1" ht="71.25" customHeight="1" x14ac:dyDescent="0.6">
      <c r="A84" s="1069"/>
      <c r="B84" s="1069"/>
      <c r="C84" s="1109" t="s">
        <v>294</v>
      </c>
      <c r="D84" s="1070" t="s">
        <v>298</v>
      </c>
      <c r="E84" s="1094">
        <v>496000</v>
      </c>
      <c r="F84" s="1094">
        <v>0</v>
      </c>
      <c r="G84" s="1094">
        <f>E84+F84</f>
        <v>496000</v>
      </c>
      <c r="H84" s="1094">
        <v>496000</v>
      </c>
      <c r="I84" s="1094">
        <v>0</v>
      </c>
      <c r="J84" s="1094">
        <f>H84+I84</f>
        <v>496000</v>
      </c>
      <c r="K84" s="1249">
        <v>2</v>
      </c>
      <c r="L84" s="1250">
        <v>3</v>
      </c>
      <c r="M84" s="1250"/>
      <c r="N84" s="1250"/>
      <c r="O84" s="1250">
        <v>2</v>
      </c>
      <c r="P84" s="1250"/>
      <c r="Q84" s="1251" t="s">
        <v>185</v>
      </c>
      <c r="R84" s="1251"/>
      <c r="S84" s="1186">
        <f>V84+Y84</f>
        <v>496000</v>
      </c>
      <c r="T84" s="1186">
        <v>0</v>
      </c>
      <c r="U84" s="1180">
        <f t="shared" ref="U84:U93" si="38">S84+T84</f>
        <v>496000</v>
      </c>
      <c r="V84" s="1071">
        <v>0</v>
      </c>
      <c r="W84" s="1071">
        <v>0</v>
      </c>
      <c r="X84" s="1071"/>
      <c r="Y84" s="1071">
        <v>496000</v>
      </c>
      <c r="Z84" s="1071"/>
      <c r="AA84" s="1071"/>
      <c r="AB84" s="1071"/>
      <c r="AC84" s="1071"/>
      <c r="AD84" s="1071">
        <f>J84-Y84</f>
        <v>0</v>
      </c>
      <c r="AE84" s="1071"/>
      <c r="AF84" s="1071">
        <v>0</v>
      </c>
      <c r="AG84" s="1071"/>
      <c r="AH84" s="1071"/>
      <c r="AI84" s="1071">
        <v>0</v>
      </c>
      <c r="AJ84" s="1071"/>
      <c r="AK84" s="1071"/>
      <c r="AL84" s="1071"/>
      <c r="AM84" s="1071"/>
      <c r="AN84" s="1149" t="s">
        <v>539</v>
      </c>
      <c r="AO84" s="1072"/>
      <c r="AP84" s="1072"/>
      <c r="AQ84" s="1072"/>
      <c r="AR84" s="1092"/>
      <c r="AS84" s="1092"/>
      <c r="AT84" s="1092"/>
      <c r="AU84" s="1092"/>
      <c r="AV84" s="1092"/>
      <c r="AW84" s="1092"/>
      <c r="AX84" s="1092"/>
      <c r="AY84" s="1092"/>
      <c r="AZ84" s="1092"/>
      <c r="BA84" s="1092"/>
      <c r="BB84" s="1092"/>
      <c r="BC84" s="1092"/>
      <c r="BD84" s="1092"/>
      <c r="BE84" s="1092"/>
      <c r="BF84" s="1092"/>
      <c r="BG84" s="1092"/>
      <c r="BH84" s="1092"/>
      <c r="BI84" s="1092"/>
      <c r="BJ84" s="1092"/>
      <c r="BK84" s="1198" t="s">
        <v>497</v>
      </c>
      <c r="BL84" s="1092"/>
      <c r="BM84" s="1092"/>
      <c r="BN84" s="1092"/>
      <c r="BO84" s="1092"/>
      <c r="BP84" s="1092"/>
      <c r="BQ84" s="1092"/>
      <c r="BR84" s="1092"/>
      <c r="BS84" s="1092"/>
      <c r="BT84" s="1092"/>
      <c r="BU84" s="1092"/>
      <c r="BV84" s="1092"/>
      <c r="BW84" s="1092"/>
      <c r="BX84" s="1080"/>
      <c r="BY84" s="1092"/>
      <c r="BZ84" s="1089"/>
      <c r="CA84" s="1082"/>
      <c r="CB84" s="1092"/>
      <c r="CC84" s="1092"/>
      <c r="CD84" s="1092"/>
      <c r="CE84" s="1092"/>
      <c r="CF84" s="1092"/>
      <c r="CG84" s="1092"/>
      <c r="CH84" s="1092"/>
      <c r="CI84" s="1092"/>
      <c r="CJ84" s="1092"/>
      <c r="CK84" s="1092"/>
      <c r="CL84" s="1092"/>
      <c r="CM84" s="1092"/>
      <c r="CN84" s="1092"/>
      <c r="CO84" s="1092"/>
      <c r="CP84" s="1092"/>
    </row>
    <row r="85" spans="1:94" s="209" customFormat="1" ht="42" customHeight="1" x14ac:dyDescent="0.6">
      <c r="A85" s="1069"/>
      <c r="B85" s="1069"/>
      <c r="C85" s="1109" t="s">
        <v>297</v>
      </c>
      <c r="D85" s="1070" t="s">
        <v>296</v>
      </c>
      <c r="E85" s="1094">
        <v>792400</v>
      </c>
      <c r="F85" s="1094">
        <v>0</v>
      </c>
      <c r="G85" s="1094">
        <f>E85+F85</f>
        <v>792400</v>
      </c>
      <c r="H85" s="1094">
        <v>792400</v>
      </c>
      <c r="I85" s="1094">
        <v>0</v>
      </c>
      <c r="J85" s="1094">
        <f>H85+I85</f>
        <v>792400</v>
      </c>
      <c r="K85" s="1249">
        <v>1</v>
      </c>
      <c r="L85" s="1250">
        <v>5</v>
      </c>
      <c r="M85" s="1250"/>
      <c r="N85" s="1250"/>
      <c r="O85" s="1250">
        <v>2</v>
      </c>
      <c r="P85" s="1250"/>
      <c r="Q85" s="1251" t="s">
        <v>185</v>
      </c>
      <c r="R85" s="1251"/>
      <c r="S85" s="1186">
        <f>V85+Y85</f>
        <v>792400</v>
      </c>
      <c r="T85" s="1186">
        <v>0</v>
      </c>
      <c r="U85" s="1180">
        <f t="shared" si="38"/>
        <v>792400</v>
      </c>
      <c r="V85" s="1071">
        <v>0</v>
      </c>
      <c r="W85" s="1071">
        <v>0</v>
      </c>
      <c r="X85" s="1071"/>
      <c r="Y85" s="1071">
        <f>82800+294000+88200+28800+36000+20160+39200+14640+12000+176600</f>
        <v>792400</v>
      </c>
      <c r="Z85" s="1071"/>
      <c r="AA85" s="1071"/>
      <c r="AB85" s="1071"/>
      <c r="AC85" s="1071"/>
      <c r="AD85" s="1071">
        <f>J85-Y85</f>
        <v>0</v>
      </c>
      <c r="AE85" s="1071"/>
      <c r="AF85" s="1071">
        <v>0</v>
      </c>
      <c r="AG85" s="1071"/>
      <c r="AH85" s="1071"/>
      <c r="AI85" s="1071">
        <v>0</v>
      </c>
      <c r="AJ85" s="1071"/>
      <c r="AK85" s="1071"/>
      <c r="AL85" s="1071"/>
      <c r="AM85" s="1071"/>
      <c r="AN85" s="1149" t="s">
        <v>459</v>
      </c>
      <c r="AO85" s="1072"/>
      <c r="AP85" s="1072"/>
      <c r="AQ85" s="1072"/>
      <c r="AR85" s="1092"/>
      <c r="AS85" s="1199" t="s">
        <v>445</v>
      </c>
      <c r="AT85" s="1097" t="s">
        <v>450</v>
      </c>
      <c r="AU85" s="1097"/>
      <c r="AV85" s="1200">
        <v>14640</v>
      </c>
      <c r="AW85" s="1092"/>
      <c r="AX85" s="1096" t="s">
        <v>469</v>
      </c>
      <c r="AY85" s="1092"/>
      <c r="AZ85" s="1092"/>
      <c r="BA85" s="1092"/>
      <c r="BB85" s="1092"/>
      <c r="BC85" s="1092"/>
      <c r="BD85" s="1092"/>
      <c r="BE85" s="1092"/>
      <c r="BF85" s="1092"/>
      <c r="BG85" s="1092"/>
      <c r="BH85" s="1092"/>
      <c r="BI85" s="1092"/>
      <c r="BJ85" s="1092"/>
      <c r="BK85" s="1078"/>
      <c r="BL85" s="1092"/>
      <c r="BM85" s="1092"/>
      <c r="BN85" s="1092"/>
      <c r="BO85" s="1092"/>
      <c r="BP85" s="1092"/>
      <c r="BQ85" s="1092"/>
      <c r="BR85" s="1092"/>
      <c r="BS85" s="1092"/>
      <c r="BT85" s="1092"/>
      <c r="BU85" s="1092"/>
      <c r="BV85" s="1092"/>
      <c r="BW85" s="1092"/>
      <c r="BX85" s="1080"/>
      <c r="BY85" s="1092"/>
      <c r="BZ85" s="1089"/>
      <c r="CA85" s="1082"/>
      <c r="CB85" s="1092"/>
      <c r="CC85" s="1092"/>
      <c r="CD85" s="1092"/>
      <c r="CE85" s="1092"/>
      <c r="CF85" s="1092"/>
      <c r="CG85" s="1092"/>
      <c r="CH85" s="1092"/>
      <c r="CI85" s="1092"/>
      <c r="CJ85" s="1092"/>
      <c r="CK85" s="1092"/>
      <c r="CL85" s="1092"/>
      <c r="CM85" s="1092"/>
      <c r="CN85" s="1092"/>
      <c r="CO85" s="1092"/>
      <c r="CP85" s="1092"/>
    </row>
    <row r="86" spans="1:94" s="603" customFormat="1" ht="80.25" customHeight="1" x14ac:dyDescent="0.6">
      <c r="A86" s="1083">
        <v>16</v>
      </c>
      <c r="B86" s="1083"/>
      <c r="C86" s="1084" t="s">
        <v>299</v>
      </c>
      <c r="D86" s="1085" t="s">
        <v>300</v>
      </c>
      <c r="E86" s="1147">
        <f>SUM(E87:E87)</f>
        <v>0</v>
      </c>
      <c r="F86" s="1147">
        <v>27870000</v>
      </c>
      <c r="G86" s="1147">
        <v>27870000</v>
      </c>
      <c r="H86" s="1147">
        <f>SUM(H87:H87)</f>
        <v>0</v>
      </c>
      <c r="I86" s="1147">
        <f>SUM(I87:I87)</f>
        <v>27680000</v>
      </c>
      <c r="J86" s="1147">
        <f>SUM(J87:J87)</f>
        <v>27680000</v>
      </c>
      <c r="K86" s="1177"/>
      <c r="L86" s="1178"/>
      <c r="M86" s="1178"/>
      <c r="N86" s="1178"/>
      <c r="O86" s="1178"/>
      <c r="P86" s="1178"/>
      <c r="Q86" s="1179"/>
      <c r="R86" s="1179"/>
      <c r="S86" s="1180"/>
      <c r="T86" s="1180">
        <v>27680000</v>
      </c>
      <c r="U86" s="1180">
        <f t="shared" si="38"/>
        <v>27680000</v>
      </c>
      <c r="V86" s="1086">
        <f>SUM(V87:V87)</f>
        <v>10352320</v>
      </c>
      <c r="W86" s="1086">
        <f>J86-V86</f>
        <v>17327680</v>
      </c>
      <c r="X86" s="1086"/>
      <c r="Y86" s="1086">
        <f>Y87</f>
        <v>17327680</v>
      </c>
      <c r="Z86" s="1086"/>
      <c r="AA86" s="1086"/>
      <c r="AB86" s="1086">
        <f>0</f>
        <v>0</v>
      </c>
      <c r="AC86" s="1086">
        <f>Y86</f>
        <v>17327680</v>
      </c>
      <c r="AD86" s="1086">
        <v>0</v>
      </c>
      <c r="AE86" s="1086"/>
      <c r="AF86" s="1086">
        <v>10352320</v>
      </c>
      <c r="AG86" s="1086"/>
      <c r="AH86" s="1086"/>
      <c r="AI86" s="1086"/>
      <c r="AJ86" s="1086"/>
      <c r="AK86" s="1086"/>
      <c r="AL86" s="1086"/>
      <c r="AM86" s="1086"/>
      <c r="AN86" s="1087"/>
      <c r="AO86" s="1088"/>
      <c r="AP86" s="1088"/>
      <c r="AQ86" s="1088"/>
      <c r="AR86" s="1092"/>
      <c r="AS86" s="1092"/>
      <c r="AT86" s="1092"/>
      <c r="AU86" s="1092"/>
      <c r="AV86" s="1092"/>
      <c r="AW86" s="1092"/>
      <c r="AX86" s="1092"/>
      <c r="AY86" s="1092"/>
      <c r="AZ86" s="1195">
        <v>190000</v>
      </c>
      <c r="BA86" s="1195"/>
      <c r="BB86" s="1092"/>
      <c r="BC86" s="1092"/>
      <c r="BD86" s="1092"/>
      <c r="BE86" s="1092"/>
      <c r="BF86" s="1092"/>
      <c r="BG86" s="1092"/>
      <c r="BH86" s="1092"/>
      <c r="BI86" s="1092"/>
      <c r="BJ86" s="1092"/>
      <c r="BK86" s="1078"/>
      <c r="BL86" s="1092"/>
      <c r="BM86" s="1092"/>
      <c r="BN86" s="1092"/>
      <c r="BO86" s="1092"/>
      <c r="BP86" s="1092"/>
      <c r="BQ86" s="1092"/>
      <c r="BR86" s="1092"/>
      <c r="BS86" s="1092"/>
      <c r="BT86" s="1092"/>
      <c r="BU86" s="1092"/>
      <c r="BV86" s="1092"/>
      <c r="BW86" s="1092"/>
      <c r="BX86" s="1080"/>
      <c r="BY86" s="1092"/>
      <c r="BZ86" s="1089"/>
      <c r="CA86" s="1082"/>
      <c r="CB86" s="1092"/>
      <c r="CC86" s="1092"/>
      <c r="CD86" s="1092"/>
      <c r="CE86" s="1092"/>
      <c r="CF86" s="1092"/>
      <c r="CG86" s="1092"/>
      <c r="CH86" s="1092"/>
      <c r="CI86" s="1092"/>
      <c r="CJ86" s="1092"/>
      <c r="CK86" s="1092"/>
      <c r="CL86" s="1092"/>
      <c r="CM86" s="1092"/>
      <c r="CN86" s="1092"/>
      <c r="CO86" s="1092"/>
      <c r="CP86" s="1092"/>
    </row>
    <row r="87" spans="1:94" s="209" customFormat="1" ht="148.5" customHeight="1" x14ac:dyDescent="0.65">
      <c r="A87" s="1069"/>
      <c r="B87" s="1069"/>
      <c r="C87" s="1109" t="s">
        <v>673</v>
      </c>
      <c r="D87" s="1070"/>
      <c r="E87" s="1094">
        <v>0</v>
      </c>
      <c r="F87" s="1094">
        <v>27870000</v>
      </c>
      <c r="G87" s="1094">
        <v>27870000</v>
      </c>
      <c r="H87" s="1094">
        <v>0</v>
      </c>
      <c r="I87" s="1094">
        <v>27680000</v>
      </c>
      <c r="J87" s="1094">
        <f>27870000-190000</f>
        <v>27680000</v>
      </c>
      <c r="K87" s="1249"/>
      <c r="L87" s="1250"/>
      <c r="M87" s="1250">
        <v>12</v>
      </c>
      <c r="N87" s="1250">
        <v>9</v>
      </c>
      <c r="O87" s="1250"/>
      <c r="P87" s="1250">
        <v>5</v>
      </c>
      <c r="Q87" s="1251" t="s">
        <v>185</v>
      </c>
      <c r="R87" s="1251"/>
      <c r="S87" s="1186"/>
      <c r="T87" s="1186">
        <v>27680000</v>
      </c>
      <c r="U87" s="1180">
        <f t="shared" si="38"/>
        <v>27680000</v>
      </c>
      <c r="V87" s="1071">
        <v>10352320</v>
      </c>
      <c r="W87" s="1071">
        <v>190000</v>
      </c>
      <c r="X87" s="1071"/>
      <c r="Y87" s="1071">
        <v>17327680</v>
      </c>
      <c r="Z87" s="1071"/>
      <c r="AA87" s="1071"/>
      <c r="AB87" s="1071"/>
      <c r="AC87" s="1071"/>
      <c r="AD87" s="1071">
        <v>0</v>
      </c>
      <c r="AE87" s="1071"/>
      <c r="AF87" s="1071">
        <v>10352320</v>
      </c>
      <c r="AG87" s="1071"/>
      <c r="AH87" s="1071"/>
      <c r="AI87" s="1071"/>
      <c r="AJ87" s="1071"/>
      <c r="AK87" s="1071">
        <v>190000</v>
      </c>
      <c r="AL87" s="1071"/>
      <c r="AM87" s="1071"/>
      <c r="AN87" s="1149" t="s">
        <v>803</v>
      </c>
      <c r="AO87" s="1072"/>
      <c r="AP87" s="1072"/>
      <c r="AQ87" s="1072"/>
      <c r="AR87" s="1092"/>
      <c r="AS87" s="1092"/>
      <c r="AT87" s="1092"/>
      <c r="AU87" s="1092"/>
      <c r="AV87" s="1092"/>
      <c r="AW87" s="1092"/>
      <c r="AX87" s="1092"/>
      <c r="AY87" s="1092"/>
      <c r="AZ87" s="1082">
        <v>190000</v>
      </c>
      <c r="BA87" s="1098" t="s">
        <v>481</v>
      </c>
      <c r="BB87" s="1092"/>
      <c r="BC87" s="1092"/>
      <c r="BD87" s="1092"/>
      <c r="BE87" s="1092"/>
      <c r="BF87" s="1102" t="s">
        <v>486</v>
      </c>
      <c r="BG87" s="1092"/>
      <c r="BH87" s="1092"/>
      <c r="BI87" s="1092"/>
      <c r="BJ87" s="1092"/>
      <c r="BK87" s="1201" t="s">
        <v>500</v>
      </c>
      <c r="BL87" s="1092"/>
      <c r="BM87" s="1092"/>
      <c r="BN87" s="1092"/>
      <c r="BO87" s="1092"/>
      <c r="BP87" s="1202">
        <f>13*5</f>
        <v>65</v>
      </c>
      <c r="BQ87" s="1092"/>
      <c r="BR87" s="1092"/>
      <c r="BS87" s="1092"/>
      <c r="BT87" s="1092"/>
      <c r="BU87" s="1092"/>
      <c r="BV87" s="1092"/>
      <c r="BW87" s="1092"/>
      <c r="BX87" s="1080"/>
      <c r="BY87" s="1092"/>
      <c r="BZ87" s="1089"/>
      <c r="CA87" s="1082"/>
      <c r="CB87" s="1092"/>
      <c r="CC87" s="1092"/>
      <c r="CD87" s="1092"/>
      <c r="CE87" s="1092"/>
      <c r="CF87" s="1092"/>
      <c r="CG87" s="1092"/>
      <c r="CH87" s="1092"/>
      <c r="CI87" s="1092"/>
      <c r="CJ87" s="1092"/>
      <c r="CK87" s="1092"/>
      <c r="CL87" s="1092"/>
      <c r="CM87" s="1092"/>
      <c r="CN87" s="1092"/>
      <c r="CO87" s="1092"/>
      <c r="CP87" s="1092"/>
    </row>
    <row r="88" spans="1:94" s="603" customFormat="1" ht="86.25" customHeight="1" x14ac:dyDescent="0.6">
      <c r="A88" s="1083">
        <v>17</v>
      </c>
      <c r="B88" s="1083"/>
      <c r="C88" s="1084" t="s">
        <v>674</v>
      </c>
      <c r="D88" s="1085" t="s">
        <v>558</v>
      </c>
      <c r="E88" s="1147">
        <f t="shared" ref="E88:J88" si="39">SUM(E89:E89)</f>
        <v>0</v>
      </c>
      <c r="F88" s="1147">
        <f t="shared" si="39"/>
        <v>26400000</v>
      </c>
      <c r="G88" s="1147">
        <f t="shared" si="39"/>
        <v>26400000</v>
      </c>
      <c r="H88" s="1147">
        <f t="shared" si="39"/>
        <v>0</v>
      </c>
      <c r="I88" s="1147">
        <f t="shared" si="39"/>
        <v>25390000</v>
      </c>
      <c r="J88" s="1147">
        <f t="shared" si="39"/>
        <v>25390000</v>
      </c>
      <c r="K88" s="1177"/>
      <c r="L88" s="1178"/>
      <c r="M88" s="1178"/>
      <c r="N88" s="1178"/>
      <c r="O88" s="1178"/>
      <c r="P88" s="1178"/>
      <c r="Q88" s="1179"/>
      <c r="R88" s="1179"/>
      <c r="S88" s="1180"/>
      <c r="T88" s="1180">
        <v>25390000</v>
      </c>
      <c r="U88" s="1180">
        <f t="shared" si="38"/>
        <v>25390000</v>
      </c>
      <c r="V88" s="1086">
        <f>SUM(V89:V89)</f>
        <v>21581500</v>
      </c>
      <c r="W88" s="1086">
        <f>SUM(W89:W89)</f>
        <v>1010000</v>
      </c>
      <c r="X88" s="1086"/>
      <c r="Y88" s="1086">
        <f>SUM(Y89:Y89)</f>
        <v>13558260</v>
      </c>
      <c r="Z88" s="1086"/>
      <c r="AA88" s="1086"/>
      <c r="AB88" s="1086">
        <f>0</f>
        <v>0</v>
      </c>
      <c r="AC88" s="1086">
        <f>Y88</f>
        <v>13558260</v>
      </c>
      <c r="AD88" s="1086">
        <v>0</v>
      </c>
      <c r="AE88" s="1086"/>
      <c r="AF88" s="1086">
        <v>11831740</v>
      </c>
      <c r="AG88" s="1086"/>
      <c r="AH88" s="1086"/>
      <c r="AI88" s="1086">
        <f>AI89</f>
        <v>0</v>
      </c>
      <c r="AJ88" s="1086"/>
      <c r="AK88" s="1086"/>
      <c r="AL88" s="1086"/>
      <c r="AM88" s="1086"/>
      <c r="AN88" s="1087"/>
      <c r="AO88" s="1088"/>
      <c r="AP88" s="1088"/>
      <c r="AQ88" s="1088"/>
      <c r="AR88" s="1092"/>
      <c r="AS88" s="1092"/>
      <c r="AT88" s="1092"/>
      <c r="AU88" s="1092"/>
      <c r="AV88" s="1092"/>
      <c r="AW88" s="1092"/>
      <c r="AX88" s="1092"/>
      <c r="AY88" s="1092"/>
      <c r="AZ88" s="1092"/>
      <c r="BA88" s="1092"/>
      <c r="BB88" s="1092"/>
      <c r="BC88" s="1092"/>
      <c r="BD88" s="1092"/>
      <c r="BE88" s="1092"/>
      <c r="BF88" s="1092"/>
      <c r="BG88" s="1092"/>
      <c r="BH88" s="1092"/>
      <c r="BI88" s="1092"/>
      <c r="BJ88" s="1092"/>
      <c r="BK88" s="1128"/>
      <c r="BL88" s="1092"/>
      <c r="BM88" s="1092"/>
      <c r="BN88" s="1092"/>
      <c r="BO88" s="1092"/>
      <c r="BP88" s="1092"/>
      <c r="BQ88" s="1092"/>
      <c r="BR88" s="1092"/>
      <c r="BS88" s="1092"/>
      <c r="BT88" s="1092"/>
      <c r="BU88" s="1092"/>
      <c r="BV88" s="1092"/>
      <c r="BW88" s="1092"/>
      <c r="BX88" s="1092"/>
      <c r="BY88" s="1092"/>
      <c r="BZ88" s="1128"/>
      <c r="CA88" s="1195"/>
      <c r="CB88" s="1092"/>
      <c r="CC88" s="1092"/>
      <c r="CD88" s="1092"/>
      <c r="CE88" s="1092"/>
      <c r="CF88" s="1092"/>
      <c r="CG88" s="1092"/>
      <c r="CH88" s="1092"/>
      <c r="CI88" s="1092"/>
      <c r="CJ88" s="1092"/>
      <c r="CK88" s="1092"/>
      <c r="CL88" s="1092"/>
      <c r="CM88" s="1092"/>
      <c r="CN88" s="1092"/>
      <c r="CO88" s="1092"/>
      <c r="CP88" s="1092"/>
    </row>
    <row r="89" spans="1:94" s="209" customFormat="1" ht="141" customHeight="1" x14ac:dyDescent="0.6">
      <c r="A89" s="1069"/>
      <c r="B89" s="1069"/>
      <c r="C89" s="1109" t="s">
        <v>743</v>
      </c>
      <c r="D89" s="1070"/>
      <c r="E89" s="1094"/>
      <c r="F89" s="1094">
        <v>26400000</v>
      </c>
      <c r="G89" s="1094">
        <v>26400000</v>
      </c>
      <c r="H89" s="1094"/>
      <c r="I89" s="1094">
        <v>25390000</v>
      </c>
      <c r="J89" s="1094">
        <v>25390000</v>
      </c>
      <c r="K89" s="1249"/>
      <c r="L89" s="1250"/>
      <c r="M89" s="1250">
        <v>12</v>
      </c>
      <c r="N89" s="1250">
        <v>9</v>
      </c>
      <c r="O89" s="1250"/>
      <c r="P89" s="1250">
        <v>5</v>
      </c>
      <c r="Q89" s="1251" t="s">
        <v>185</v>
      </c>
      <c r="R89" s="1251"/>
      <c r="S89" s="1186"/>
      <c r="T89" s="1186">
        <v>25390000</v>
      </c>
      <c r="U89" s="1180">
        <f t="shared" si="38"/>
        <v>25390000</v>
      </c>
      <c r="V89" s="1071">
        <v>21581500</v>
      </c>
      <c r="W89" s="1071">
        <v>1010000</v>
      </c>
      <c r="X89" s="1071"/>
      <c r="Y89" s="1071">
        <f>3808500+9749760</f>
        <v>13558260</v>
      </c>
      <c r="Z89" s="1071"/>
      <c r="AA89" s="1071"/>
      <c r="AB89" s="1071"/>
      <c r="AC89" s="1071"/>
      <c r="AD89" s="1071">
        <v>0</v>
      </c>
      <c r="AE89" s="1071"/>
      <c r="AF89" s="1071">
        <v>11831740</v>
      </c>
      <c r="AG89" s="1071"/>
      <c r="AH89" s="1071"/>
      <c r="AI89" s="1071">
        <v>0</v>
      </c>
      <c r="AJ89" s="1071"/>
      <c r="AK89" s="1071">
        <v>510000</v>
      </c>
      <c r="AL89" s="1071" t="s">
        <v>583</v>
      </c>
      <c r="AM89" s="1071"/>
      <c r="AN89" s="1149" t="s">
        <v>804</v>
      </c>
      <c r="AO89" s="1072"/>
      <c r="AP89" s="1072"/>
      <c r="AQ89" s="1072"/>
      <c r="AR89" s="1092"/>
      <c r="AS89" s="1092"/>
      <c r="AT89" s="1092"/>
      <c r="AU89" s="1092"/>
      <c r="AV89" s="1092"/>
      <c r="AW89" s="1092"/>
      <c r="AX89" s="1092"/>
      <c r="AY89" s="1092"/>
      <c r="AZ89" s="1092"/>
      <c r="BA89" s="1092"/>
      <c r="BB89" s="1092"/>
      <c r="BC89" s="1092"/>
      <c r="BD89" s="1092"/>
      <c r="BE89" s="1092"/>
      <c r="BF89" s="1092"/>
      <c r="BG89" s="1092"/>
      <c r="BH89" s="1092"/>
      <c r="BI89" s="1092"/>
      <c r="BJ89" s="1092"/>
      <c r="BK89" s="1078"/>
      <c r="BL89" s="1092"/>
      <c r="BM89" s="1092"/>
      <c r="BN89" s="1092"/>
      <c r="BO89" s="1092"/>
      <c r="BP89" s="1092"/>
      <c r="BQ89" s="1092"/>
      <c r="BR89" s="1092"/>
      <c r="BS89" s="1092"/>
      <c r="BT89" s="1092"/>
      <c r="BU89" s="1092"/>
      <c r="BV89" s="1092"/>
      <c r="BW89" s="1092"/>
      <c r="BX89" s="1080"/>
      <c r="BY89" s="1092"/>
      <c r="BZ89" s="1089"/>
      <c r="CA89" s="1082"/>
      <c r="CB89" s="1092"/>
      <c r="CC89" s="1092"/>
      <c r="CD89" s="1092"/>
      <c r="CE89" s="1092"/>
      <c r="CF89" s="1092"/>
      <c r="CG89" s="1092"/>
      <c r="CH89" s="1092"/>
      <c r="CI89" s="1092"/>
      <c r="CJ89" s="1092"/>
      <c r="CK89" s="1092"/>
      <c r="CL89" s="1092"/>
      <c r="CM89" s="1092"/>
      <c r="CN89" s="1092"/>
      <c r="CO89" s="1092"/>
      <c r="CP89" s="1092"/>
    </row>
    <row r="90" spans="1:94" s="603" customFormat="1" ht="84.75" customHeight="1" x14ac:dyDescent="0.6">
      <c r="A90" s="1083">
        <v>18</v>
      </c>
      <c r="B90" s="1083"/>
      <c r="C90" s="1084" t="s">
        <v>302</v>
      </c>
      <c r="D90" s="1085" t="s">
        <v>300</v>
      </c>
      <c r="E90" s="1147">
        <f>SUM(E91:E91)</f>
        <v>0</v>
      </c>
      <c r="F90" s="1147">
        <f>F91</f>
        <v>17610000</v>
      </c>
      <c r="G90" s="1147">
        <f>G91</f>
        <v>17610000</v>
      </c>
      <c r="H90" s="1147">
        <f>SUM(H91:H91)</f>
        <v>0</v>
      </c>
      <c r="I90" s="1147">
        <f>I91</f>
        <v>17588000</v>
      </c>
      <c r="J90" s="1147">
        <f>J91</f>
        <v>17588000</v>
      </c>
      <c r="K90" s="1177"/>
      <c r="L90" s="1178"/>
      <c r="M90" s="1178"/>
      <c r="N90" s="1178"/>
      <c r="O90" s="1178"/>
      <c r="P90" s="1178"/>
      <c r="Q90" s="1179"/>
      <c r="R90" s="1179"/>
      <c r="S90" s="1180"/>
      <c r="T90" s="1180">
        <v>17588000</v>
      </c>
      <c r="U90" s="1180">
        <f t="shared" si="38"/>
        <v>17588000</v>
      </c>
      <c r="V90" s="1086">
        <f>V91</f>
        <v>6067860</v>
      </c>
      <c r="W90" s="1086">
        <v>22000</v>
      </c>
      <c r="X90" s="1086"/>
      <c r="Y90" s="1086">
        <f>Y91</f>
        <v>11520140</v>
      </c>
      <c r="Z90" s="1086"/>
      <c r="AA90" s="1086"/>
      <c r="AB90" s="1086">
        <v>0</v>
      </c>
      <c r="AC90" s="1086">
        <f>Y90</f>
        <v>11520140</v>
      </c>
      <c r="AD90" s="1086">
        <v>0</v>
      </c>
      <c r="AE90" s="1086"/>
      <c r="AF90" s="1086">
        <v>6067860</v>
      </c>
      <c r="AG90" s="1086"/>
      <c r="AH90" s="1086"/>
      <c r="AI90" s="1086"/>
      <c r="AJ90" s="1086"/>
      <c r="AK90" s="1086"/>
      <c r="AL90" s="1086"/>
      <c r="AM90" s="1086"/>
      <c r="AN90" s="1087"/>
      <c r="AO90" s="1088"/>
      <c r="AP90" s="1088"/>
      <c r="AQ90" s="1088"/>
      <c r="AR90" s="1092"/>
      <c r="AS90" s="1092"/>
      <c r="AT90" s="1092"/>
      <c r="AU90" s="1092"/>
      <c r="AV90" s="1092"/>
      <c r="AW90" s="1092"/>
      <c r="AX90" s="1092"/>
      <c r="AY90" s="1092"/>
      <c r="AZ90" s="1195">
        <v>22000</v>
      </c>
      <c r="BA90" s="1128"/>
      <c r="BB90" s="1092"/>
      <c r="BC90" s="1092"/>
      <c r="BD90" s="1092"/>
      <c r="BE90" s="1092"/>
      <c r="BF90" s="1092"/>
      <c r="BG90" s="1092"/>
      <c r="BH90" s="1092"/>
      <c r="BI90" s="1092"/>
      <c r="BJ90" s="1092"/>
      <c r="BK90" s="1078"/>
      <c r="BL90" s="1092"/>
      <c r="BM90" s="1092"/>
      <c r="BN90" s="1092"/>
      <c r="BO90" s="1092"/>
      <c r="BP90" s="1092"/>
      <c r="BQ90" s="1092"/>
      <c r="BR90" s="1092"/>
      <c r="BS90" s="1092"/>
      <c r="BT90" s="1092"/>
      <c r="BU90" s="1092"/>
      <c r="BV90" s="1092"/>
      <c r="BW90" s="1092"/>
      <c r="BX90" s="1080"/>
      <c r="BY90" s="1092"/>
      <c r="BZ90" s="1089"/>
      <c r="CA90" s="1082"/>
      <c r="CB90" s="1092"/>
      <c r="CC90" s="1092"/>
      <c r="CD90" s="1092"/>
      <c r="CE90" s="1092"/>
      <c r="CF90" s="1092"/>
      <c r="CG90" s="1092"/>
      <c r="CH90" s="1092"/>
      <c r="CI90" s="1092"/>
      <c r="CJ90" s="1092"/>
      <c r="CK90" s="1092"/>
      <c r="CL90" s="1092"/>
      <c r="CM90" s="1092"/>
      <c r="CN90" s="1092"/>
      <c r="CO90" s="1092"/>
      <c r="CP90" s="1092"/>
    </row>
    <row r="91" spans="1:94" s="209" customFormat="1" ht="133.5" customHeight="1" x14ac:dyDescent="0.6">
      <c r="A91" s="1069"/>
      <c r="B91" s="1069"/>
      <c r="C91" s="1109" t="s">
        <v>676</v>
      </c>
      <c r="D91" s="1070"/>
      <c r="E91" s="1094"/>
      <c r="F91" s="1094">
        <v>17610000</v>
      </c>
      <c r="G91" s="1094">
        <v>17610000</v>
      </c>
      <c r="H91" s="1094"/>
      <c r="I91" s="1094">
        <v>17588000</v>
      </c>
      <c r="J91" s="1094">
        <f>17610000-22000</f>
        <v>17588000</v>
      </c>
      <c r="K91" s="1249"/>
      <c r="L91" s="1250"/>
      <c r="M91" s="1250">
        <v>12</v>
      </c>
      <c r="N91" s="1250">
        <v>9</v>
      </c>
      <c r="O91" s="1250"/>
      <c r="P91" s="1250">
        <v>5</v>
      </c>
      <c r="Q91" s="1251" t="s">
        <v>185</v>
      </c>
      <c r="R91" s="1251"/>
      <c r="S91" s="1186"/>
      <c r="T91" s="1186">
        <v>17588000</v>
      </c>
      <c r="U91" s="1180">
        <f t="shared" si="38"/>
        <v>17588000</v>
      </c>
      <c r="V91" s="1071">
        <v>6067860</v>
      </c>
      <c r="W91" s="1071">
        <f>J91-V91</f>
        <v>11520140</v>
      </c>
      <c r="X91" s="1071"/>
      <c r="Y91" s="1071">
        <f>6331680+5188460</f>
        <v>11520140</v>
      </c>
      <c r="Z91" s="1071"/>
      <c r="AA91" s="1071"/>
      <c r="AB91" s="1071"/>
      <c r="AC91" s="1071"/>
      <c r="AD91" s="1071">
        <v>0</v>
      </c>
      <c r="AE91" s="1071"/>
      <c r="AF91" s="1071">
        <v>6067860</v>
      </c>
      <c r="AG91" s="1071"/>
      <c r="AH91" s="1071"/>
      <c r="AI91" s="1071"/>
      <c r="AJ91" s="1071"/>
      <c r="AK91" s="1071"/>
      <c r="AL91" s="1071"/>
      <c r="AM91" s="1071"/>
      <c r="AN91" s="1149" t="s">
        <v>805</v>
      </c>
      <c r="AO91" s="1072"/>
      <c r="AP91" s="1072"/>
      <c r="AQ91" s="1072"/>
      <c r="AR91" s="1092"/>
      <c r="AS91" s="1092"/>
      <c r="AT91" s="1092"/>
      <c r="AU91" s="1092"/>
      <c r="AV91" s="1092"/>
      <c r="AW91" s="1092"/>
      <c r="AX91" s="1092"/>
      <c r="AY91" s="1092"/>
      <c r="AZ91" s="1195">
        <v>22000</v>
      </c>
      <c r="BA91" s="1203" t="s">
        <v>481</v>
      </c>
      <c r="BB91" s="1092"/>
      <c r="BC91" s="1092"/>
      <c r="BD91" s="1092"/>
      <c r="BE91" s="1092"/>
      <c r="BF91" s="1092"/>
      <c r="BG91" s="1092"/>
      <c r="BH91" s="1092"/>
      <c r="BI91" s="1092"/>
      <c r="BJ91" s="1092"/>
      <c r="BK91" s="1078"/>
      <c r="BL91" s="1092"/>
      <c r="BM91" s="1092"/>
      <c r="BN91" s="1092"/>
      <c r="BO91" s="1092"/>
      <c r="BP91" s="1092"/>
      <c r="BQ91" s="1092"/>
      <c r="BR91" s="1092"/>
      <c r="BS91" s="1092"/>
      <c r="BT91" s="1092"/>
      <c r="BU91" s="1092"/>
      <c r="BV91" s="1092"/>
      <c r="BW91" s="1092"/>
      <c r="BX91" s="1080"/>
      <c r="BY91" s="1092"/>
      <c r="BZ91" s="1089"/>
      <c r="CA91" s="1082"/>
      <c r="CB91" s="1092"/>
      <c r="CC91" s="1092"/>
      <c r="CD91" s="1092"/>
      <c r="CE91" s="1092"/>
      <c r="CF91" s="1092"/>
      <c r="CG91" s="1092"/>
      <c r="CH91" s="1092"/>
      <c r="CI91" s="1092"/>
      <c r="CJ91" s="1092"/>
      <c r="CK91" s="1092"/>
      <c r="CL91" s="1092"/>
      <c r="CM91" s="1092"/>
      <c r="CN91" s="1092"/>
      <c r="CO91" s="1092"/>
      <c r="CP91" s="1092"/>
    </row>
    <row r="92" spans="1:94" s="603" customFormat="1" ht="105" customHeight="1" x14ac:dyDescent="0.6">
      <c r="A92" s="1083">
        <v>19</v>
      </c>
      <c r="B92" s="1083"/>
      <c r="C92" s="1084" t="s">
        <v>675</v>
      </c>
      <c r="D92" s="1085" t="s">
        <v>300</v>
      </c>
      <c r="E92" s="1147">
        <f>SUM(E93:E93)</f>
        <v>0</v>
      </c>
      <c r="F92" s="1147">
        <f>F93</f>
        <v>25990000</v>
      </c>
      <c r="G92" s="1147">
        <f>G93</f>
        <v>25990000</v>
      </c>
      <c r="H92" s="1147">
        <f>SUM(H93:H93)</f>
        <v>0</v>
      </c>
      <c r="I92" s="1147">
        <v>25890000</v>
      </c>
      <c r="J92" s="1147">
        <f>J93</f>
        <v>25890000</v>
      </c>
      <c r="K92" s="1177"/>
      <c r="L92" s="1178"/>
      <c r="M92" s="1178"/>
      <c r="N92" s="1178"/>
      <c r="O92" s="1178"/>
      <c r="P92" s="1178"/>
      <c r="Q92" s="1179"/>
      <c r="R92" s="1179"/>
      <c r="S92" s="1180"/>
      <c r="T92" s="1180">
        <f>T93</f>
        <v>25890000</v>
      </c>
      <c r="U92" s="1180">
        <f t="shared" si="38"/>
        <v>25890000</v>
      </c>
      <c r="V92" s="1086">
        <f>SUM(V93:V94)</f>
        <v>19676400</v>
      </c>
      <c r="W92" s="1086">
        <f>SUM(W93:W94)</f>
        <v>6213600</v>
      </c>
      <c r="X92" s="1086"/>
      <c r="Y92" s="1086">
        <f>SUM(Y93:Y94)</f>
        <v>17337600</v>
      </c>
      <c r="Z92" s="1086"/>
      <c r="AA92" s="1086"/>
      <c r="AB92" s="1086">
        <v>0</v>
      </c>
      <c r="AC92" s="1086">
        <f>AC93</f>
        <v>17337600</v>
      </c>
      <c r="AD92" s="1086">
        <v>0</v>
      </c>
      <c r="AE92" s="1086"/>
      <c r="AF92" s="1086">
        <f>SUM(AF93:AF94)</f>
        <v>8552400</v>
      </c>
      <c r="AG92" s="1086"/>
      <c r="AH92" s="1086"/>
      <c r="AI92" s="1086"/>
      <c r="AJ92" s="1086"/>
      <c r="AK92" s="1086"/>
      <c r="AL92" s="1086"/>
      <c r="AM92" s="1086"/>
      <c r="AN92" s="1087"/>
      <c r="AO92" s="1088"/>
      <c r="AP92" s="1088"/>
      <c r="AQ92" s="1088"/>
      <c r="AR92" s="1092"/>
      <c r="AS92" s="1092"/>
      <c r="AT92" s="1092"/>
      <c r="AU92" s="1092"/>
      <c r="AV92" s="1092"/>
      <c r="AW92" s="1092"/>
      <c r="AX92" s="1092"/>
      <c r="AY92" s="1092"/>
      <c r="AZ92" s="1195">
        <v>100000</v>
      </c>
      <c r="BA92" s="1128"/>
      <c r="BB92" s="1092"/>
      <c r="BC92" s="1092"/>
      <c r="BD92" s="1092"/>
      <c r="BE92" s="1092"/>
      <c r="BF92" s="1092"/>
      <c r="BG92" s="1092"/>
      <c r="BH92" s="1092"/>
      <c r="BI92" s="1092"/>
      <c r="BJ92" s="1092"/>
      <c r="BK92" s="1078"/>
      <c r="BL92" s="1092"/>
      <c r="BM92" s="1092"/>
      <c r="BN92" s="1092"/>
      <c r="BO92" s="1092"/>
      <c r="BP92" s="1092"/>
      <c r="BQ92" s="1092"/>
      <c r="BR92" s="1092"/>
      <c r="BS92" s="1092"/>
      <c r="BT92" s="1092"/>
      <c r="BU92" s="1092"/>
      <c r="BV92" s="1092"/>
      <c r="BW92" s="1092"/>
      <c r="BX92" s="1080"/>
      <c r="BY92" s="1092"/>
      <c r="BZ92" s="1089"/>
      <c r="CA92" s="1082"/>
      <c r="CB92" s="1092"/>
      <c r="CC92" s="1092"/>
      <c r="CD92" s="1092"/>
      <c r="CE92" s="1092"/>
      <c r="CF92" s="1092"/>
      <c r="CG92" s="1092"/>
      <c r="CH92" s="1092"/>
      <c r="CI92" s="1092"/>
      <c r="CJ92" s="1092"/>
      <c r="CK92" s="1092"/>
      <c r="CL92" s="1092"/>
      <c r="CM92" s="1092"/>
      <c r="CN92" s="1092"/>
      <c r="CO92" s="1092"/>
      <c r="CP92" s="1092"/>
    </row>
    <row r="93" spans="1:94" s="926" customFormat="1" ht="138" customHeight="1" x14ac:dyDescent="0.55000000000000004">
      <c r="A93" s="1263"/>
      <c r="B93" s="1263"/>
      <c r="C93" s="1264" t="s">
        <v>608</v>
      </c>
      <c r="D93" s="1204"/>
      <c r="E93" s="1094"/>
      <c r="F93" s="1094">
        <v>25990000</v>
      </c>
      <c r="G93" s="1094">
        <v>25990000</v>
      </c>
      <c r="H93" s="1094"/>
      <c r="I93" s="1094">
        <v>25890000</v>
      </c>
      <c r="J93" s="1094">
        <f>25990000-100000</f>
        <v>25890000</v>
      </c>
      <c r="K93" s="1299"/>
      <c r="L93" s="1300"/>
      <c r="M93" s="1300">
        <v>12</v>
      </c>
      <c r="N93" s="1300">
        <v>9</v>
      </c>
      <c r="O93" s="1300"/>
      <c r="P93" s="1300">
        <v>5</v>
      </c>
      <c r="Q93" s="1301" t="s">
        <v>185</v>
      </c>
      <c r="R93" s="1301"/>
      <c r="S93" s="1302"/>
      <c r="T93" s="1302">
        <f>J93</f>
        <v>25890000</v>
      </c>
      <c r="U93" s="1180">
        <f t="shared" si="38"/>
        <v>25890000</v>
      </c>
      <c r="V93" s="1103">
        <v>19676400</v>
      </c>
      <c r="W93" s="1103">
        <f>J93-V93</f>
        <v>6213600</v>
      </c>
      <c r="X93" s="1103"/>
      <c r="Y93" s="1103">
        <f>3106800+3106800+11124000</f>
        <v>17337600</v>
      </c>
      <c r="Z93" s="1103"/>
      <c r="AA93" s="1103"/>
      <c r="AB93" s="1103"/>
      <c r="AC93" s="1103">
        <f>Y93</f>
        <v>17337600</v>
      </c>
      <c r="AD93" s="1103">
        <v>0</v>
      </c>
      <c r="AE93" s="1103"/>
      <c r="AF93" s="1103">
        <v>8552400</v>
      </c>
      <c r="AG93" s="1103"/>
      <c r="AH93" s="1103"/>
      <c r="AI93" s="1103"/>
      <c r="AJ93" s="1103"/>
      <c r="AK93" s="1103"/>
      <c r="AL93" s="1103"/>
      <c r="AM93" s="1103"/>
      <c r="AN93" s="1303" t="s">
        <v>806</v>
      </c>
      <c r="AO93" s="1205"/>
      <c r="AP93" s="1205"/>
      <c r="AQ93" s="1205"/>
      <c r="AR93" s="1075"/>
      <c r="AS93" s="1075"/>
      <c r="AT93" s="1075"/>
      <c r="AU93" s="1075"/>
      <c r="AV93" s="1075"/>
      <c r="AW93" s="1075"/>
      <c r="AX93" s="1075"/>
      <c r="AY93" s="1075"/>
      <c r="AZ93" s="1195">
        <v>100000</v>
      </c>
      <c r="BA93" s="1203" t="s">
        <v>481</v>
      </c>
      <c r="BB93" s="1075"/>
      <c r="BC93" s="1075"/>
      <c r="BD93" s="1075"/>
      <c r="BE93" s="1075"/>
      <c r="BF93" s="1199" t="s">
        <v>487</v>
      </c>
      <c r="BG93" s="1075"/>
      <c r="BH93" s="1075"/>
      <c r="BI93" s="1075"/>
      <c r="BJ93" s="1075"/>
      <c r="BK93" s="1196" t="s">
        <v>499</v>
      </c>
      <c r="BL93" s="1075"/>
      <c r="BM93" s="1075"/>
      <c r="BN93" s="1075"/>
      <c r="BO93" s="1075"/>
      <c r="BP93" s="1075"/>
      <c r="BQ93" s="1075"/>
      <c r="BR93" s="1075"/>
      <c r="BS93" s="1075"/>
      <c r="BT93" s="1075"/>
      <c r="BU93" s="1075"/>
      <c r="BV93" s="1075"/>
      <c r="BW93" s="1075"/>
      <c r="BX93" s="1080"/>
      <c r="BY93" s="1075"/>
      <c r="BZ93" s="1089"/>
      <c r="CA93" s="1082"/>
      <c r="CB93" s="1075"/>
      <c r="CC93" s="1075"/>
      <c r="CD93" s="1075"/>
      <c r="CE93" s="1075"/>
      <c r="CF93" s="1075"/>
      <c r="CG93" s="1075"/>
      <c r="CH93" s="1075"/>
      <c r="CI93" s="1075"/>
      <c r="CJ93" s="1075"/>
      <c r="CK93" s="1075"/>
      <c r="CL93" s="1075"/>
      <c r="CM93" s="1075"/>
      <c r="CN93" s="1075"/>
      <c r="CO93" s="1075"/>
      <c r="CP93" s="1075"/>
    </row>
    <row r="94" spans="1:94" s="639" customFormat="1" ht="40.5" customHeight="1" x14ac:dyDescent="0.55000000000000004">
      <c r="A94" s="1304"/>
      <c r="B94" s="1305"/>
      <c r="C94" s="1206" t="s">
        <v>476</v>
      </c>
      <c r="D94" s="1206"/>
      <c r="E94" s="1306"/>
      <c r="F94" s="1306"/>
      <c r="G94" s="1306"/>
      <c r="H94" s="1306"/>
      <c r="I94" s="1306"/>
      <c r="J94" s="1306"/>
      <c r="K94" s="1307"/>
      <c r="L94" s="1308"/>
      <c r="M94" s="1308"/>
      <c r="N94" s="1308"/>
      <c r="O94" s="1307"/>
      <c r="P94" s="1307"/>
      <c r="Q94" s="1307"/>
      <c r="R94" s="1307"/>
      <c r="S94" s="1309"/>
      <c r="T94" s="1309"/>
      <c r="U94" s="1309"/>
      <c r="V94" s="1307"/>
      <c r="W94" s="1307"/>
      <c r="X94" s="1307"/>
      <c r="Y94" s="1307"/>
      <c r="Z94" s="1307"/>
      <c r="AA94" s="1307"/>
      <c r="AB94" s="1307"/>
      <c r="AC94" s="1307"/>
      <c r="AD94" s="1307"/>
      <c r="AE94" s="1307"/>
      <c r="AF94" s="1307"/>
      <c r="AG94" s="1307"/>
      <c r="AH94" s="1307"/>
      <c r="AI94" s="1307"/>
      <c r="AJ94" s="1307"/>
      <c r="AK94" s="1307"/>
      <c r="AL94" s="1307"/>
      <c r="AM94" s="1307"/>
      <c r="AN94" s="1310"/>
      <c r="AO94" s="1075"/>
      <c r="AP94" s="1075"/>
      <c r="AQ94" s="1075"/>
      <c r="AR94" s="1075"/>
      <c r="AS94" s="1075"/>
      <c r="AT94" s="1075"/>
      <c r="AU94" s="1075"/>
      <c r="AV94" s="1075"/>
      <c r="AW94" s="1075"/>
      <c r="AX94" s="1075"/>
      <c r="AY94" s="1075"/>
      <c r="AZ94" s="1075"/>
      <c r="BA94" s="1075"/>
      <c r="BB94" s="1075"/>
      <c r="BC94" s="1075"/>
      <c r="BD94" s="1075"/>
      <c r="BE94" s="1075"/>
      <c r="BF94" s="1075"/>
      <c r="BG94" s="1075"/>
      <c r="BH94" s="1075"/>
      <c r="BI94" s="1075"/>
      <c r="BJ94" s="1075"/>
      <c r="BK94" s="1078"/>
      <c r="BL94" s="1075"/>
      <c r="BM94" s="1075"/>
      <c r="BN94" s="1075"/>
      <c r="BO94" s="1075"/>
      <c r="BP94" s="1075"/>
      <c r="BQ94" s="1075"/>
      <c r="BR94" s="1075"/>
      <c r="BS94" s="1075"/>
      <c r="BT94" s="1075"/>
      <c r="BU94" s="1075"/>
      <c r="BV94" s="1075"/>
      <c r="BW94" s="1075"/>
      <c r="BX94" s="1080"/>
      <c r="BY94" s="1075"/>
      <c r="BZ94" s="1089"/>
      <c r="CA94" s="1082"/>
      <c r="CB94" s="1075"/>
      <c r="CC94" s="1075"/>
      <c r="CD94" s="1075"/>
      <c r="CE94" s="1075"/>
      <c r="CF94" s="1075"/>
      <c r="CG94" s="1075"/>
      <c r="CH94" s="1075"/>
      <c r="CI94" s="1075"/>
      <c r="CJ94" s="1075"/>
      <c r="CK94" s="1075"/>
      <c r="CL94" s="1075"/>
      <c r="CM94" s="1075"/>
      <c r="CN94" s="1075"/>
      <c r="CO94" s="1075"/>
      <c r="CP94" s="1075"/>
    </row>
    <row r="95" spans="1:94" s="831" customFormat="1" ht="199.5" customHeight="1" x14ac:dyDescent="0.2">
      <c r="A95" s="1122"/>
      <c r="B95" s="1122"/>
      <c r="C95" s="1272" t="s">
        <v>807</v>
      </c>
      <c r="D95" s="1311" t="s">
        <v>753</v>
      </c>
      <c r="E95" s="1274"/>
      <c r="F95" s="1274"/>
      <c r="G95" s="1274"/>
      <c r="H95" s="1274">
        <v>312000</v>
      </c>
      <c r="I95" s="1274">
        <v>0</v>
      </c>
      <c r="J95" s="1274">
        <v>312000</v>
      </c>
      <c r="K95" s="1275"/>
      <c r="L95" s="1276"/>
      <c r="M95" s="1276"/>
      <c r="N95" s="1276"/>
      <c r="O95" s="1123"/>
      <c r="P95" s="1123"/>
      <c r="Q95" s="1123"/>
      <c r="R95" s="1123"/>
      <c r="S95" s="1277">
        <f>V95+Y95</f>
        <v>312000</v>
      </c>
      <c r="T95" s="1277">
        <v>0</v>
      </c>
      <c r="U95" s="1277">
        <f>S95+T95</f>
        <v>312000</v>
      </c>
      <c r="V95" s="1123">
        <v>0</v>
      </c>
      <c r="W95" s="1123">
        <v>0</v>
      </c>
      <c r="X95" s="1123"/>
      <c r="Y95" s="1277">
        <f>282720+8130+15000+2400+3750</f>
        <v>312000</v>
      </c>
      <c r="Z95" s="1123"/>
      <c r="AA95" s="1123"/>
      <c r="AB95" s="1277">
        <v>312000</v>
      </c>
      <c r="AC95" s="1123">
        <v>0</v>
      </c>
      <c r="AD95" s="1279">
        <v>0</v>
      </c>
      <c r="AE95" s="1123"/>
      <c r="AF95" s="1123">
        <v>0</v>
      </c>
      <c r="AG95" s="1123"/>
      <c r="AH95" s="1123"/>
      <c r="AI95" s="1123">
        <v>0</v>
      </c>
      <c r="AJ95" s="1123"/>
      <c r="AK95" s="1123"/>
      <c r="AL95" s="1123"/>
      <c r="AM95" s="1123"/>
      <c r="AN95" s="1272" t="s">
        <v>752</v>
      </c>
      <c r="AO95" s="1110"/>
      <c r="AP95" s="1110"/>
      <c r="AQ95" s="1110"/>
      <c r="AR95" s="1110"/>
      <c r="AS95" s="1110"/>
      <c r="AT95" s="1110"/>
      <c r="AU95" s="1110"/>
      <c r="AV95" s="1110"/>
      <c r="AW95" s="1110"/>
      <c r="AX95" s="1110"/>
      <c r="AY95" s="1110"/>
      <c r="AZ95" s="1110"/>
      <c r="BA95" s="1110"/>
      <c r="BB95" s="1110"/>
      <c r="BC95" s="1110"/>
      <c r="BD95" s="1110"/>
      <c r="BE95" s="1110"/>
      <c r="BF95" s="1110"/>
      <c r="BG95" s="1110"/>
      <c r="BH95" s="1110"/>
      <c r="BI95" s="1110"/>
      <c r="BJ95" s="1110"/>
      <c r="BK95" s="1124"/>
      <c r="BL95" s="1110"/>
      <c r="BM95" s="1110"/>
      <c r="BN95" s="1110"/>
      <c r="BO95" s="1110"/>
      <c r="BP95" s="1110"/>
      <c r="BQ95" s="1110"/>
      <c r="BR95" s="1110"/>
      <c r="BS95" s="1110"/>
      <c r="BT95" s="1110"/>
      <c r="BU95" s="1110"/>
      <c r="BV95" s="1110"/>
      <c r="BW95" s="1110"/>
      <c r="BX95" s="1099"/>
      <c r="BY95" s="1110"/>
      <c r="BZ95" s="1082"/>
      <c r="CA95" s="1082"/>
      <c r="CB95" s="1110"/>
      <c r="CC95" s="1110"/>
      <c r="CD95" s="1110"/>
      <c r="CE95" s="1110"/>
      <c r="CF95" s="1110"/>
      <c r="CG95" s="1110"/>
      <c r="CH95" s="1110"/>
      <c r="CI95" s="1110"/>
      <c r="CJ95" s="1110"/>
      <c r="CK95" s="1110"/>
      <c r="CL95" s="1110"/>
      <c r="CM95" s="1110"/>
      <c r="CN95" s="1110"/>
      <c r="CO95" s="1110"/>
      <c r="CP95" s="1110"/>
    </row>
    <row r="96" spans="1:94" s="831" customFormat="1" ht="138" customHeight="1" x14ac:dyDescent="0.2">
      <c r="A96" s="1122"/>
      <c r="B96" s="1122"/>
      <c r="C96" s="1272" t="s">
        <v>808</v>
      </c>
      <c r="D96" s="1311" t="s">
        <v>298</v>
      </c>
      <c r="E96" s="1274"/>
      <c r="F96" s="1274"/>
      <c r="G96" s="1274"/>
      <c r="H96" s="1274">
        <v>500000</v>
      </c>
      <c r="I96" s="1274">
        <v>0</v>
      </c>
      <c r="J96" s="1274">
        <v>500000</v>
      </c>
      <c r="K96" s="1275"/>
      <c r="L96" s="1276"/>
      <c r="M96" s="1276"/>
      <c r="N96" s="1276"/>
      <c r="O96" s="1123"/>
      <c r="P96" s="1123"/>
      <c r="Q96" s="1123"/>
      <c r="R96" s="1123"/>
      <c r="S96" s="1277">
        <v>500000</v>
      </c>
      <c r="T96" s="1277">
        <v>0</v>
      </c>
      <c r="U96" s="1277">
        <f>S96+T96</f>
        <v>500000</v>
      </c>
      <c r="V96" s="1277">
        <v>500000</v>
      </c>
      <c r="W96" s="1123">
        <v>0</v>
      </c>
      <c r="X96" s="1123"/>
      <c r="Y96" s="1312">
        <v>0</v>
      </c>
      <c r="Z96" s="1123"/>
      <c r="AA96" s="1123"/>
      <c r="AB96" s="1123">
        <v>0</v>
      </c>
      <c r="AC96" s="1123">
        <v>0</v>
      </c>
      <c r="AD96" s="1279">
        <v>0</v>
      </c>
      <c r="AE96" s="1123"/>
      <c r="AF96" s="1277">
        <v>500000</v>
      </c>
      <c r="AG96" s="1123"/>
      <c r="AH96" s="1123"/>
      <c r="AI96" s="1123">
        <v>0</v>
      </c>
      <c r="AJ96" s="1123"/>
      <c r="AK96" s="1123"/>
      <c r="AL96" s="1123"/>
      <c r="AM96" s="1123"/>
      <c r="AN96" s="1272" t="s">
        <v>809</v>
      </c>
      <c r="AO96" s="1110"/>
      <c r="AP96" s="1110"/>
      <c r="AQ96" s="1110"/>
      <c r="AR96" s="1110"/>
      <c r="AS96" s="1110"/>
      <c r="AT96" s="1110"/>
      <c r="AU96" s="1110"/>
      <c r="AV96" s="1110"/>
      <c r="AW96" s="1110"/>
      <c r="AX96" s="1110"/>
      <c r="AY96" s="1110"/>
      <c r="AZ96" s="1110"/>
      <c r="BA96" s="1110"/>
      <c r="BB96" s="1110"/>
      <c r="BC96" s="1110"/>
      <c r="BD96" s="1110"/>
      <c r="BE96" s="1110"/>
      <c r="BF96" s="1110"/>
      <c r="BG96" s="1110"/>
      <c r="BH96" s="1110"/>
      <c r="BI96" s="1110"/>
      <c r="BJ96" s="1110"/>
      <c r="BK96" s="1124"/>
      <c r="BL96" s="1110"/>
      <c r="BM96" s="1110"/>
      <c r="BN96" s="1110"/>
      <c r="BO96" s="1110"/>
      <c r="BP96" s="1110"/>
      <c r="BQ96" s="1110"/>
      <c r="BR96" s="1110"/>
      <c r="BS96" s="1110"/>
      <c r="BT96" s="1110"/>
      <c r="BU96" s="1110"/>
      <c r="BV96" s="1110"/>
      <c r="BW96" s="1110"/>
      <c r="BX96" s="1099"/>
      <c r="BY96" s="1110"/>
      <c r="BZ96" s="1082"/>
      <c r="CA96" s="1082"/>
      <c r="CB96" s="1110"/>
      <c r="CC96" s="1110"/>
      <c r="CD96" s="1110"/>
      <c r="CE96" s="1110"/>
      <c r="CF96" s="1110"/>
      <c r="CG96" s="1110"/>
      <c r="CH96" s="1110"/>
      <c r="CI96" s="1110"/>
      <c r="CJ96" s="1110"/>
      <c r="CK96" s="1110"/>
      <c r="CL96" s="1110"/>
      <c r="CM96" s="1110"/>
      <c r="CN96" s="1110"/>
      <c r="CO96" s="1110"/>
      <c r="CP96" s="1110"/>
    </row>
    <row r="97" spans="1:94" s="643" customFormat="1" ht="33.75" customHeight="1" x14ac:dyDescent="0.85">
      <c r="A97" s="640"/>
      <c r="B97" s="640"/>
      <c r="C97" s="641"/>
      <c r="D97" s="642"/>
      <c r="E97" s="834"/>
      <c r="F97" s="834"/>
      <c r="G97" s="834"/>
      <c r="H97" s="832"/>
      <c r="I97" s="832"/>
      <c r="J97" s="832"/>
      <c r="L97" s="644"/>
      <c r="M97" s="644"/>
      <c r="N97" s="644"/>
      <c r="S97" s="645"/>
      <c r="T97" s="645"/>
      <c r="U97" s="645"/>
      <c r="AK97" s="646"/>
      <c r="AL97" s="646"/>
      <c r="AM97" s="646"/>
      <c r="BK97" s="647"/>
      <c r="BX97" s="648"/>
      <c r="BZ97" s="649"/>
      <c r="CA97" s="650"/>
    </row>
    <row r="98" spans="1:94" ht="18.95" customHeight="1" x14ac:dyDescent="0.85">
      <c r="A98" s="226"/>
      <c r="B98" s="226"/>
      <c r="C98" s="227"/>
      <c r="D98" s="597"/>
    </row>
    <row r="99" spans="1:94" ht="18.95" customHeight="1" x14ac:dyDescent="0.85">
      <c r="A99" s="226"/>
      <c r="B99" s="226"/>
      <c r="C99" s="227"/>
      <c r="D99" s="597"/>
    </row>
    <row r="100" spans="1:94" ht="18.95" customHeight="1" x14ac:dyDescent="0.85">
      <c r="A100" s="226"/>
      <c r="B100" s="226"/>
      <c r="C100" s="227"/>
      <c r="D100" s="597"/>
    </row>
    <row r="101" spans="1:94" ht="18.95" customHeight="1" x14ac:dyDescent="0.85">
      <c r="A101" s="226"/>
      <c r="B101" s="226"/>
      <c r="C101" s="227"/>
      <c r="D101" s="597"/>
    </row>
    <row r="102" spans="1:94" ht="18.95" customHeight="1" x14ac:dyDescent="0.85">
      <c r="A102" s="226"/>
      <c r="B102" s="226"/>
      <c r="C102" s="227"/>
      <c r="D102" s="597"/>
    </row>
    <row r="103" spans="1:94" ht="18.95" customHeight="1" x14ac:dyDescent="0.85">
      <c r="A103" s="226"/>
      <c r="B103" s="226"/>
      <c r="C103" s="227"/>
      <c r="D103" s="597"/>
    </row>
    <row r="104" spans="1:94" ht="18.95" customHeight="1" x14ac:dyDescent="0.85">
      <c r="A104" s="226"/>
      <c r="B104" s="226"/>
      <c r="C104" s="229"/>
      <c r="D104" s="598"/>
    </row>
    <row r="105" spans="1:94" ht="18.95" customHeight="1" x14ac:dyDescent="0.85">
      <c r="A105" s="226"/>
      <c r="B105" s="226"/>
      <c r="C105" s="230"/>
      <c r="D105" s="599"/>
    </row>
    <row r="106" spans="1:94" ht="18.95" customHeight="1" x14ac:dyDescent="0.85">
      <c r="A106" s="226"/>
      <c r="B106" s="226"/>
      <c r="C106" s="231"/>
      <c r="D106" s="600"/>
    </row>
    <row r="107" spans="1:94" ht="18.95" customHeight="1" x14ac:dyDescent="0.85">
      <c r="A107" s="226"/>
      <c r="B107" s="226"/>
      <c r="C107" s="232"/>
      <c r="D107" s="601"/>
    </row>
    <row r="108" spans="1:94" ht="18.95" customHeight="1" x14ac:dyDescent="0.85">
      <c r="A108" s="233"/>
      <c r="B108" s="233"/>
      <c r="C108" s="227"/>
      <c r="D108" s="597"/>
      <c r="E108" s="835"/>
      <c r="F108" s="835"/>
      <c r="H108" s="833"/>
      <c r="I108" s="833"/>
    </row>
    <row r="109" spans="1:94" x14ac:dyDescent="0.85">
      <c r="A109" s="228"/>
      <c r="B109" s="228"/>
    </row>
    <row r="110" spans="1:94" x14ac:dyDescent="0.85">
      <c r="A110" s="228"/>
      <c r="B110" s="228"/>
    </row>
    <row r="111" spans="1:94" x14ac:dyDescent="0.85">
      <c r="A111" s="228"/>
      <c r="B111" s="228"/>
    </row>
    <row r="112" spans="1:94" s="190" customFormat="1" x14ac:dyDescent="0.85">
      <c r="A112" s="228"/>
      <c r="B112" s="228"/>
      <c r="C112" s="183"/>
      <c r="D112" s="197"/>
      <c r="E112" s="834"/>
      <c r="F112" s="834"/>
      <c r="G112" s="834"/>
      <c r="H112" s="832"/>
      <c r="I112" s="832"/>
      <c r="J112" s="832"/>
      <c r="K112" s="183"/>
      <c r="L112" s="228"/>
      <c r="M112" s="228"/>
      <c r="N112" s="228"/>
      <c r="O112" s="183"/>
      <c r="P112" s="183"/>
      <c r="Q112" s="183"/>
      <c r="R112" s="183"/>
      <c r="S112" s="571"/>
      <c r="T112" s="571"/>
      <c r="U112" s="571"/>
      <c r="V112" s="572"/>
      <c r="W112" s="183"/>
      <c r="X112" s="183"/>
      <c r="Y112" s="572"/>
      <c r="Z112" s="183"/>
      <c r="AA112" s="573"/>
      <c r="AB112" s="573"/>
      <c r="AC112" s="573"/>
      <c r="AD112" s="183"/>
      <c r="AE112" s="183"/>
      <c r="AF112" s="183"/>
      <c r="AG112" s="183"/>
      <c r="AH112" s="183"/>
      <c r="AI112" s="183"/>
      <c r="AJ112" s="183"/>
      <c r="AK112" s="596"/>
      <c r="AL112" s="596"/>
      <c r="AM112" s="596"/>
      <c r="AN112" s="183"/>
      <c r="AO112" s="183"/>
      <c r="AP112" s="183"/>
      <c r="AQ112" s="183"/>
      <c r="AR112" s="183"/>
      <c r="AS112" s="183"/>
      <c r="AT112" s="183"/>
      <c r="AU112" s="183"/>
      <c r="AV112" s="183"/>
      <c r="AW112" s="183"/>
      <c r="AX112" s="183"/>
      <c r="AY112" s="183"/>
      <c r="AZ112" s="183"/>
      <c r="BA112" s="183"/>
      <c r="BB112" s="183"/>
      <c r="BC112" s="183"/>
      <c r="BD112" s="183"/>
      <c r="BE112" s="183"/>
      <c r="BF112" s="183"/>
      <c r="BG112" s="183"/>
      <c r="BH112" s="183"/>
      <c r="BI112" s="183"/>
      <c r="BJ112" s="183"/>
      <c r="BK112" s="243"/>
      <c r="BL112" s="183"/>
      <c r="BM112" s="183"/>
      <c r="BN112" s="183"/>
      <c r="BO112" s="183"/>
      <c r="BP112" s="183"/>
      <c r="BQ112" s="183"/>
      <c r="BR112" s="183"/>
      <c r="BS112" s="183"/>
      <c r="BT112" s="183"/>
      <c r="BU112" s="183"/>
      <c r="BV112" s="183"/>
      <c r="BW112" s="183"/>
      <c r="BX112" s="531"/>
      <c r="BY112" s="183"/>
      <c r="BZ112" s="533"/>
      <c r="CA112" s="595"/>
      <c r="CB112" s="183"/>
      <c r="CC112" s="183"/>
      <c r="CD112" s="183"/>
      <c r="CE112" s="183"/>
      <c r="CF112" s="183"/>
      <c r="CG112" s="183"/>
      <c r="CH112" s="183"/>
      <c r="CI112" s="183"/>
      <c r="CJ112" s="183"/>
      <c r="CK112" s="183"/>
      <c r="CL112" s="183"/>
      <c r="CM112" s="183"/>
      <c r="CN112" s="183"/>
      <c r="CO112" s="183"/>
      <c r="CP112" s="183"/>
    </row>
    <row r="113" spans="1:94" s="190" customFormat="1" x14ac:dyDescent="0.85">
      <c r="A113" s="228"/>
      <c r="B113" s="228"/>
      <c r="C113" s="183"/>
      <c r="D113" s="197"/>
      <c r="E113" s="834"/>
      <c r="F113" s="834"/>
      <c r="G113" s="834"/>
      <c r="H113" s="832"/>
      <c r="I113" s="832"/>
      <c r="J113" s="832"/>
      <c r="K113" s="183"/>
      <c r="L113" s="228"/>
      <c r="M113" s="228"/>
      <c r="N113" s="228"/>
      <c r="O113" s="183"/>
      <c r="P113" s="183"/>
      <c r="Q113" s="183"/>
      <c r="R113" s="183"/>
      <c r="S113" s="571"/>
      <c r="T113" s="571"/>
      <c r="U113" s="571"/>
      <c r="V113" s="572"/>
      <c r="W113" s="183"/>
      <c r="X113" s="183"/>
      <c r="Y113" s="572"/>
      <c r="Z113" s="183"/>
      <c r="AA113" s="573"/>
      <c r="AB113" s="573"/>
      <c r="AC113" s="573"/>
      <c r="AD113" s="183"/>
      <c r="AE113" s="183"/>
      <c r="AF113" s="183"/>
      <c r="AG113" s="183"/>
      <c r="AH113" s="183"/>
      <c r="AI113" s="183"/>
      <c r="AJ113" s="183"/>
      <c r="AK113" s="596"/>
      <c r="AL113" s="596"/>
      <c r="AM113" s="596"/>
      <c r="AN113" s="183"/>
      <c r="AO113" s="183"/>
      <c r="AP113" s="183"/>
      <c r="AQ113" s="183"/>
      <c r="AR113" s="183"/>
      <c r="AS113" s="183"/>
      <c r="AT113" s="183"/>
      <c r="AU113" s="183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3"/>
      <c r="BF113" s="183"/>
      <c r="BG113" s="183"/>
      <c r="BH113" s="183"/>
      <c r="BI113" s="183"/>
      <c r="BJ113" s="183"/>
      <c r="BK113" s="243"/>
      <c r="BL113" s="183"/>
      <c r="BM113" s="183"/>
      <c r="BN113" s="183"/>
      <c r="BO113" s="183"/>
      <c r="BP113" s="183"/>
      <c r="BQ113" s="183"/>
      <c r="BR113" s="183"/>
      <c r="BS113" s="183"/>
      <c r="BT113" s="183"/>
      <c r="BU113" s="183"/>
      <c r="BV113" s="183"/>
      <c r="BW113" s="183"/>
      <c r="BX113" s="531"/>
      <c r="BY113" s="183"/>
      <c r="BZ113" s="533"/>
      <c r="CA113" s="595"/>
      <c r="CB113" s="183"/>
      <c r="CC113" s="183"/>
      <c r="CD113" s="183"/>
      <c r="CE113" s="183"/>
      <c r="CF113" s="183"/>
      <c r="CG113" s="183"/>
      <c r="CH113" s="183"/>
      <c r="CI113" s="183"/>
      <c r="CJ113" s="183"/>
      <c r="CK113" s="183"/>
      <c r="CL113" s="183"/>
      <c r="CM113" s="183"/>
      <c r="CN113" s="183"/>
      <c r="CO113" s="183"/>
      <c r="CP113" s="183"/>
    </row>
    <row r="114" spans="1:94" s="190" customFormat="1" x14ac:dyDescent="0.85">
      <c r="A114" s="228"/>
      <c r="B114" s="228"/>
      <c r="C114" s="183"/>
      <c r="D114" s="197"/>
      <c r="E114" s="834"/>
      <c r="F114" s="834"/>
      <c r="G114" s="834"/>
      <c r="H114" s="832"/>
      <c r="I114" s="832"/>
      <c r="J114" s="832"/>
      <c r="K114" s="183"/>
      <c r="L114" s="228"/>
      <c r="M114" s="228"/>
      <c r="N114" s="228"/>
      <c r="O114" s="183"/>
      <c r="P114" s="183"/>
      <c r="Q114" s="183"/>
      <c r="R114" s="183"/>
      <c r="S114" s="571"/>
      <c r="T114" s="571"/>
      <c r="U114" s="571"/>
      <c r="V114" s="572"/>
      <c r="W114" s="183"/>
      <c r="X114" s="183"/>
      <c r="Y114" s="572"/>
      <c r="Z114" s="183"/>
      <c r="AA114" s="573"/>
      <c r="AB114" s="573"/>
      <c r="AC114" s="573"/>
      <c r="AD114" s="183"/>
      <c r="AE114" s="183"/>
      <c r="AF114" s="183"/>
      <c r="AG114" s="183"/>
      <c r="AH114" s="183"/>
      <c r="AI114" s="183"/>
      <c r="AJ114" s="183"/>
      <c r="AK114" s="596"/>
      <c r="AL114" s="596"/>
      <c r="AM114" s="596"/>
      <c r="AN114" s="183"/>
      <c r="AO114" s="183"/>
      <c r="AP114" s="183"/>
      <c r="AQ114" s="183"/>
      <c r="AR114" s="183"/>
      <c r="AS114" s="183"/>
      <c r="AT114" s="183"/>
      <c r="AU114" s="183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3"/>
      <c r="BF114" s="183"/>
      <c r="BG114" s="183"/>
      <c r="BH114" s="183"/>
      <c r="BI114" s="183"/>
      <c r="BJ114" s="183"/>
      <c r="BK114" s="243"/>
      <c r="BL114" s="183"/>
      <c r="BM114" s="183"/>
      <c r="BN114" s="183"/>
      <c r="BO114" s="183"/>
      <c r="BP114" s="183"/>
      <c r="BQ114" s="183"/>
      <c r="BR114" s="183"/>
      <c r="BS114" s="183"/>
      <c r="BT114" s="183"/>
      <c r="BU114" s="183"/>
      <c r="BV114" s="183"/>
      <c r="BW114" s="183"/>
      <c r="BX114" s="531"/>
      <c r="BY114" s="183"/>
      <c r="BZ114" s="533"/>
      <c r="CA114" s="595"/>
      <c r="CB114" s="183"/>
      <c r="CC114" s="183"/>
      <c r="CD114" s="183"/>
      <c r="CE114" s="183"/>
      <c r="CF114" s="183"/>
      <c r="CG114" s="183"/>
      <c r="CH114" s="183"/>
      <c r="CI114" s="183"/>
      <c r="CJ114" s="183"/>
      <c r="CK114" s="183"/>
      <c r="CL114" s="183"/>
      <c r="CM114" s="183"/>
      <c r="CN114" s="183"/>
      <c r="CO114" s="183"/>
      <c r="CP114" s="183"/>
    </row>
    <row r="115" spans="1:94" s="190" customFormat="1" x14ac:dyDescent="0.85">
      <c r="A115" s="228"/>
      <c r="B115" s="228"/>
      <c r="C115" s="183"/>
      <c r="D115" s="197"/>
      <c r="E115" s="834"/>
      <c r="F115" s="834"/>
      <c r="G115" s="834"/>
      <c r="H115" s="832"/>
      <c r="I115" s="832"/>
      <c r="J115" s="832"/>
      <c r="K115" s="183"/>
      <c r="L115" s="228"/>
      <c r="M115" s="228"/>
      <c r="N115" s="228"/>
      <c r="O115" s="183"/>
      <c r="P115" s="183"/>
      <c r="Q115" s="183"/>
      <c r="R115" s="183"/>
      <c r="S115" s="571"/>
      <c r="T115" s="571"/>
      <c r="U115" s="571"/>
      <c r="V115" s="572"/>
      <c r="W115" s="183"/>
      <c r="X115" s="183"/>
      <c r="Y115" s="572"/>
      <c r="Z115" s="183"/>
      <c r="AA115" s="573"/>
      <c r="AB115" s="573"/>
      <c r="AC115" s="573"/>
      <c r="AD115" s="183"/>
      <c r="AE115" s="183"/>
      <c r="AF115" s="183"/>
      <c r="AG115" s="183"/>
      <c r="AH115" s="183"/>
      <c r="AI115" s="183"/>
      <c r="AJ115" s="183"/>
      <c r="AK115" s="596"/>
      <c r="AL115" s="596"/>
      <c r="AM115" s="596"/>
      <c r="AN115" s="183"/>
      <c r="AO115" s="183"/>
      <c r="AP115" s="183"/>
      <c r="AQ115" s="183"/>
      <c r="AR115" s="183"/>
      <c r="AS115" s="183"/>
      <c r="AT115" s="183"/>
      <c r="AU115" s="183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3"/>
      <c r="BF115" s="183"/>
      <c r="BG115" s="183"/>
      <c r="BH115" s="183"/>
      <c r="BI115" s="183"/>
      <c r="BJ115" s="183"/>
      <c r="BK115" s="243"/>
      <c r="BL115" s="183"/>
      <c r="BM115" s="183"/>
      <c r="BN115" s="183"/>
      <c r="BO115" s="183"/>
      <c r="BP115" s="183"/>
      <c r="BQ115" s="183"/>
      <c r="BR115" s="183"/>
      <c r="BS115" s="183"/>
      <c r="BT115" s="183"/>
      <c r="BU115" s="183"/>
      <c r="BV115" s="183"/>
      <c r="BW115" s="183"/>
      <c r="BX115" s="531"/>
      <c r="BY115" s="183"/>
      <c r="BZ115" s="533"/>
      <c r="CA115" s="595"/>
      <c r="CB115" s="183"/>
      <c r="CC115" s="183"/>
      <c r="CD115" s="183"/>
      <c r="CE115" s="183"/>
      <c r="CF115" s="183"/>
      <c r="CG115" s="183"/>
      <c r="CH115" s="183"/>
      <c r="CI115" s="183"/>
      <c r="CJ115" s="183"/>
      <c r="CK115" s="183"/>
      <c r="CL115" s="183"/>
      <c r="CM115" s="183"/>
      <c r="CN115" s="183"/>
      <c r="CO115" s="183"/>
      <c r="CP115" s="183"/>
    </row>
    <row r="116" spans="1:94" s="190" customFormat="1" x14ac:dyDescent="0.85">
      <c r="A116" s="228"/>
      <c r="B116" s="228"/>
      <c r="C116" s="183"/>
      <c r="D116" s="197"/>
      <c r="E116" s="834"/>
      <c r="F116" s="834"/>
      <c r="G116" s="834"/>
      <c r="H116" s="832"/>
      <c r="I116" s="832"/>
      <c r="J116" s="832"/>
      <c r="K116" s="183"/>
      <c r="L116" s="228"/>
      <c r="M116" s="228"/>
      <c r="N116" s="228"/>
      <c r="O116" s="183"/>
      <c r="P116" s="183"/>
      <c r="Q116" s="183"/>
      <c r="R116" s="183"/>
      <c r="S116" s="571"/>
      <c r="T116" s="571"/>
      <c r="U116" s="571"/>
      <c r="V116" s="572"/>
      <c r="W116" s="183"/>
      <c r="X116" s="183"/>
      <c r="Y116" s="572"/>
      <c r="Z116" s="183"/>
      <c r="AA116" s="573"/>
      <c r="AB116" s="573"/>
      <c r="AC116" s="573"/>
      <c r="AD116" s="183"/>
      <c r="AE116" s="183"/>
      <c r="AF116" s="183"/>
      <c r="AG116" s="183"/>
      <c r="AH116" s="183"/>
      <c r="AI116" s="183"/>
      <c r="AJ116" s="183"/>
      <c r="AK116" s="596"/>
      <c r="AL116" s="596"/>
      <c r="AM116" s="596"/>
      <c r="AN116" s="183"/>
      <c r="AO116" s="183"/>
      <c r="AP116" s="183"/>
      <c r="AQ116" s="183"/>
      <c r="AR116" s="183"/>
      <c r="AS116" s="183"/>
      <c r="AT116" s="183"/>
      <c r="AU116" s="183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3"/>
      <c r="BF116" s="183"/>
      <c r="BG116" s="183"/>
      <c r="BH116" s="183"/>
      <c r="BI116" s="183"/>
      <c r="BJ116" s="183"/>
      <c r="BK116" s="243"/>
      <c r="BL116" s="183"/>
      <c r="BM116" s="183"/>
      <c r="BN116" s="183"/>
      <c r="BO116" s="183"/>
      <c r="BP116" s="183"/>
      <c r="BQ116" s="183"/>
      <c r="BR116" s="183"/>
      <c r="BS116" s="183"/>
      <c r="BT116" s="183"/>
      <c r="BU116" s="183"/>
      <c r="BV116" s="183"/>
      <c r="BW116" s="183"/>
      <c r="BX116" s="531"/>
      <c r="BY116" s="183"/>
      <c r="BZ116" s="533"/>
      <c r="CA116" s="595"/>
      <c r="CB116" s="183"/>
      <c r="CC116" s="183"/>
      <c r="CD116" s="183"/>
      <c r="CE116" s="183"/>
      <c r="CF116" s="183"/>
      <c r="CG116" s="183"/>
      <c r="CH116" s="183"/>
      <c r="CI116" s="183"/>
      <c r="CJ116" s="183"/>
      <c r="CK116" s="183"/>
      <c r="CL116" s="183"/>
      <c r="CM116" s="183"/>
      <c r="CN116" s="183"/>
      <c r="CO116" s="183"/>
      <c r="CP116" s="183"/>
    </row>
    <row r="117" spans="1:94" s="190" customFormat="1" x14ac:dyDescent="0.85">
      <c r="A117" s="228"/>
      <c r="B117" s="228"/>
      <c r="C117" s="183"/>
      <c r="D117" s="197"/>
      <c r="E117" s="834"/>
      <c r="F117" s="834"/>
      <c r="G117" s="834"/>
      <c r="H117" s="832"/>
      <c r="I117" s="832"/>
      <c r="J117" s="832"/>
      <c r="K117" s="183"/>
      <c r="L117" s="228"/>
      <c r="M117" s="228"/>
      <c r="N117" s="228"/>
      <c r="O117" s="183"/>
      <c r="P117" s="183"/>
      <c r="Q117" s="183"/>
      <c r="R117" s="183"/>
      <c r="S117" s="571"/>
      <c r="T117" s="571"/>
      <c r="U117" s="571"/>
      <c r="V117" s="572"/>
      <c r="W117" s="183"/>
      <c r="X117" s="183"/>
      <c r="Y117" s="572"/>
      <c r="Z117" s="183"/>
      <c r="AA117" s="573"/>
      <c r="AB117" s="573"/>
      <c r="AC117" s="573"/>
      <c r="AD117" s="183"/>
      <c r="AE117" s="183"/>
      <c r="AF117" s="183"/>
      <c r="AG117" s="183"/>
      <c r="AH117" s="183"/>
      <c r="AI117" s="183"/>
      <c r="AJ117" s="183"/>
      <c r="AK117" s="596"/>
      <c r="AL117" s="596"/>
      <c r="AM117" s="596"/>
      <c r="AN117" s="183"/>
      <c r="AO117" s="183"/>
      <c r="AP117" s="183"/>
      <c r="AQ117" s="183"/>
      <c r="AR117" s="183"/>
      <c r="AS117" s="183"/>
      <c r="AT117" s="183"/>
      <c r="AU117" s="183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3"/>
      <c r="BF117" s="183"/>
      <c r="BG117" s="183"/>
      <c r="BH117" s="183"/>
      <c r="BI117" s="183"/>
      <c r="BJ117" s="183"/>
      <c r="BK117" s="243"/>
      <c r="BL117" s="183"/>
      <c r="BM117" s="183"/>
      <c r="BN117" s="183"/>
      <c r="BO117" s="183"/>
      <c r="BP117" s="183"/>
      <c r="BQ117" s="183"/>
      <c r="BR117" s="183"/>
      <c r="BS117" s="183"/>
      <c r="BT117" s="183"/>
      <c r="BU117" s="183"/>
      <c r="BV117" s="183"/>
      <c r="BW117" s="183"/>
      <c r="BX117" s="531"/>
      <c r="BY117" s="183"/>
      <c r="BZ117" s="533"/>
      <c r="CA117" s="595"/>
      <c r="CB117" s="183"/>
      <c r="CC117" s="183"/>
      <c r="CD117" s="183"/>
      <c r="CE117" s="183"/>
      <c r="CF117" s="183"/>
      <c r="CG117" s="183"/>
      <c r="CH117" s="183"/>
      <c r="CI117" s="183"/>
      <c r="CJ117" s="183"/>
      <c r="CK117" s="183"/>
      <c r="CL117" s="183"/>
      <c r="CM117" s="183"/>
      <c r="CN117" s="183"/>
      <c r="CO117" s="183"/>
      <c r="CP117" s="183"/>
    </row>
    <row r="118" spans="1:94" s="190" customFormat="1" x14ac:dyDescent="0.85">
      <c r="A118" s="228"/>
      <c r="B118" s="228"/>
      <c r="C118" s="183"/>
      <c r="D118" s="197"/>
      <c r="E118" s="834"/>
      <c r="F118" s="834"/>
      <c r="G118" s="834"/>
      <c r="H118" s="832"/>
      <c r="I118" s="832"/>
      <c r="J118" s="832"/>
      <c r="K118" s="183"/>
      <c r="L118" s="228"/>
      <c r="M118" s="228"/>
      <c r="N118" s="228"/>
      <c r="O118" s="183"/>
      <c r="P118" s="183"/>
      <c r="Q118" s="183"/>
      <c r="R118" s="183"/>
      <c r="S118" s="571"/>
      <c r="T118" s="571"/>
      <c r="U118" s="571"/>
      <c r="V118" s="572"/>
      <c r="W118" s="183"/>
      <c r="X118" s="183"/>
      <c r="Y118" s="572"/>
      <c r="Z118" s="183"/>
      <c r="AA118" s="573"/>
      <c r="AB118" s="573"/>
      <c r="AC118" s="573"/>
      <c r="AD118" s="183"/>
      <c r="AE118" s="183"/>
      <c r="AF118" s="183"/>
      <c r="AG118" s="183"/>
      <c r="AH118" s="183"/>
      <c r="AI118" s="183"/>
      <c r="AJ118" s="183"/>
      <c r="AK118" s="596"/>
      <c r="AL118" s="596"/>
      <c r="AM118" s="596"/>
      <c r="AN118" s="183"/>
      <c r="AO118" s="183"/>
      <c r="AP118" s="183"/>
      <c r="AQ118" s="183"/>
      <c r="AR118" s="183"/>
      <c r="AS118" s="183"/>
      <c r="AT118" s="183"/>
      <c r="AU118" s="183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3"/>
      <c r="BF118" s="183"/>
      <c r="BG118" s="183"/>
      <c r="BH118" s="183"/>
      <c r="BI118" s="183"/>
      <c r="BJ118" s="183"/>
      <c r="BK118" s="243"/>
      <c r="BL118" s="183"/>
      <c r="BM118" s="183"/>
      <c r="BN118" s="183"/>
      <c r="BO118" s="183"/>
      <c r="BP118" s="183"/>
      <c r="BQ118" s="183"/>
      <c r="BR118" s="183"/>
      <c r="BS118" s="183"/>
      <c r="BT118" s="183"/>
      <c r="BU118" s="183"/>
      <c r="BV118" s="183"/>
      <c r="BW118" s="183"/>
      <c r="BX118" s="531"/>
      <c r="BY118" s="183"/>
      <c r="BZ118" s="533"/>
      <c r="CA118" s="595"/>
      <c r="CB118" s="183"/>
      <c r="CC118" s="183"/>
      <c r="CD118" s="183"/>
      <c r="CE118" s="183"/>
      <c r="CF118" s="183"/>
      <c r="CG118" s="183"/>
      <c r="CH118" s="183"/>
      <c r="CI118" s="183"/>
      <c r="CJ118" s="183"/>
      <c r="CK118" s="183"/>
      <c r="CL118" s="183"/>
      <c r="CM118" s="183"/>
      <c r="CN118" s="183"/>
      <c r="CO118" s="183"/>
      <c r="CP118" s="183"/>
    </row>
    <row r="119" spans="1:94" s="190" customFormat="1" x14ac:dyDescent="0.85">
      <c r="A119" s="233"/>
      <c r="B119" s="233"/>
      <c r="C119" s="227"/>
      <c r="D119" s="597"/>
      <c r="E119" s="834"/>
      <c r="F119" s="834"/>
      <c r="G119" s="834"/>
      <c r="H119" s="832"/>
      <c r="I119" s="832"/>
      <c r="J119" s="832"/>
      <c r="K119" s="183"/>
      <c r="L119" s="228"/>
      <c r="M119" s="228"/>
      <c r="N119" s="228"/>
      <c r="O119" s="183"/>
      <c r="P119" s="183"/>
      <c r="Q119" s="183"/>
      <c r="R119" s="183"/>
      <c r="S119" s="571"/>
      <c r="T119" s="571"/>
      <c r="U119" s="571"/>
      <c r="V119" s="572"/>
      <c r="W119" s="183"/>
      <c r="X119" s="183"/>
      <c r="Y119" s="572"/>
      <c r="Z119" s="183"/>
      <c r="AA119" s="573"/>
      <c r="AB119" s="573"/>
      <c r="AC119" s="573"/>
      <c r="AD119" s="183"/>
      <c r="AE119" s="183"/>
      <c r="AF119" s="183"/>
      <c r="AG119" s="183"/>
      <c r="AH119" s="183"/>
      <c r="AI119" s="183"/>
      <c r="AJ119" s="183"/>
      <c r="AK119" s="596"/>
      <c r="AL119" s="596"/>
      <c r="AM119" s="596"/>
      <c r="AN119" s="183"/>
      <c r="AO119" s="183"/>
      <c r="AP119" s="183"/>
      <c r="AQ119" s="183"/>
      <c r="AR119" s="183"/>
      <c r="AS119" s="183"/>
      <c r="AT119" s="183"/>
      <c r="AU119" s="183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3"/>
      <c r="BF119" s="183"/>
      <c r="BG119" s="183"/>
      <c r="BH119" s="183"/>
      <c r="BI119" s="183"/>
      <c r="BJ119" s="183"/>
      <c r="BK119" s="243"/>
      <c r="BL119" s="183"/>
      <c r="BM119" s="183"/>
      <c r="BN119" s="183"/>
      <c r="BO119" s="183"/>
      <c r="BP119" s="183"/>
      <c r="BQ119" s="183"/>
      <c r="BR119" s="183"/>
      <c r="BS119" s="183"/>
      <c r="BT119" s="183"/>
      <c r="BU119" s="183"/>
      <c r="BV119" s="183"/>
      <c r="BW119" s="183"/>
      <c r="BX119" s="531"/>
      <c r="BY119" s="183"/>
      <c r="BZ119" s="533"/>
      <c r="CA119" s="595"/>
      <c r="CB119" s="183"/>
      <c r="CC119" s="183"/>
      <c r="CD119" s="183"/>
      <c r="CE119" s="183"/>
      <c r="CF119" s="183"/>
      <c r="CG119" s="183"/>
      <c r="CH119" s="183"/>
      <c r="CI119" s="183"/>
      <c r="CJ119" s="183"/>
      <c r="CK119" s="183"/>
      <c r="CL119" s="183"/>
      <c r="CM119" s="183"/>
      <c r="CN119" s="183"/>
      <c r="CO119" s="183"/>
      <c r="CP119" s="183"/>
    </row>
    <row r="120" spans="1:94" s="190" customFormat="1" x14ac:dyDescent="0.85">
      <c r="A120" s="233"/>
      <c r="B120" s="233"/>
      <c r="C120" s="227"/>
      <c r="D120" s="597"/>
      <c r="E120" s="834"/>
      <c r="F120" s="834"/>
      <c r="G120" s="834"/>
      <c r="H120" s="832"/>
      <c r="I120" s="832"/>
      <c r="J120" s="832"/>
      <c r="K120" s="183"/>
      <c r="L120" s="228"/>
      <c r="M120" s="228"/>
      <c r="N120" s="228"/>
      <c r="O120" s="183"/>
      <c r="P120" s="183"/>
      <c r="Q120" s="183"/>
      <c r="R120" s="183"/>
      <c r="S120" s="571"/>
      <c r="T120" s="571"/>
      <c r="U120" s="571"/>
      <c r="V120" s="572"/>
      <c r="W120" s="183"/>
      <c r="X120" s="183"/>
      <c r="Y120" s="572"/>
      <c r="Z120" s="183"/>
      <c r="AA120" s="573"/>
      <c r="AB120" s="573"/>
      <c r="AC120" s="573"/>
      <c r="AD120" s="183"/>
      <c r="AE120" s="183"/>
      <c r="AF120" s="183"/>
      <c r="AG120" s="183"/>
      <c r="AH120" s="183"/>
      <c r="AI120" s="183"/>
      <c r="AJ120" s="183"/>
      <c r="AK120" s="596"/>
      <c r="AL120" s="596"/>
      <c r="AM120" s="596"/>
      <c r="AN120" s="183"/>
      <c r="AO120" s="183"/>
      <c r="AP120" s="183"/>
      <c r="AQ120" s="183"/>
      <c r="AR120" s="183"/>
      <c r="AS120" s="183"/>
      <c r="AT120" s="183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3"/>
      <c r="BG120" s="183"/>
      <c r="BH120" s="183"/>
      <c r="BI120" s="183"/>
      <c r="BJ120" s="183"/>
      <c r="BK120" s="243"/>
      <c r="BL120" s="183"/>
      <c r="BM120" s="183"/>
      <c r="BN120" s="183"/>
      <c r="BO120" s="183"/>
      <c r="BP120" s="183"/>
      <c r="BQ120" s="183"/>
      <c r="BR120" s="183"/>
      <c r="BS120" s="183"/>
      <c r="BT120" s="183"/>
      <c r="BU120" s="183"/>
      <c r="BV120" s="183"/>
      <c r="BW120" s="183"/>
      <c r="BX120" s="531"/>
      <c r="BY120" s="183"/>
      <c r="BZ120" s="533"/>
      <c r="CA120" s="595"/>
      <c r="CB120" s="183"/>
      <c r="CC120" s="183"/>
      <c r="CD120" s="183"/>
      <c r="CE120" s="183"/>
      <c r="CF120" s="183"/>
      <c r="CG120" s="183"/>
      <c r="CH120" s="183"/>
      <c r="CI120" s="183"/>
      <c r="CJ120" s="183"/>
      <c r="CK120" s="183"/>
      <c r="CL120" s="183"/>
      <c r="CM120" s="183"/>
      <c r="CN120" s="183"/>
      <c r="CO120" s="183"/>
      <c r="CP120" s="183"/>
    </row>
    <row r="121" spans="1:94" s="190" customFormat="1" x14ac:dyDescent="0.85">
      <c r="A121" s="233"/>
      <c r="B121" s="233"/>
      <c r="C121" s="183"/>
      <c r="D121" s="197"/>
      <c r="E121" s="834"/>
      <c r="F121" s="834"/>
      <c r="G121" s="834"/>
      <c r="H121" s="832"/>
      <c r="I121" s="832"/>
      <c r="J121" s="832"/>
      <c r="K121" s="183"/>
      <c r="L121" s="228"/>
      <c r="M121" s="228"/>
      <c r="N121" s="228"/>
      <c r="O121" s="183"/>
      <c r="P121" s="183"/>
      <c r="Q121" s="183"/>
      <c r="R121" s="183"/>
      <c r="S121" s="571"/>
      <c r="T121" s="571"/>
      <c r="U121" s="571"/>
      <c r="V121" s="572"/>
      <c r="W121" s="183"/>
      <c r="X121" s="183"/>
      <c r="Y121" s="572"/>
      <c r="Z121" s="183"/>
      <c r="AA121" s="573"/>
      <c r="AB121" s="573"/>
      <c r="AC121" s="573"/>
      <c r="AD121" s="183"/>
      <c r="AE121" s="183"/>
      <c r="AF121" s="183"/>
      <c r="AG121" s="183"/>
      <c r="AH121" s="183"/>
      <c r="AI121" s="183"/>
      <c r="AJ121" s="183"/>
      <c r="AK121" s="596"/>
      <c r="AL121" s="596"/>
      <c r="AM121" s="596"/>
      <c r="AN121" s="183"/>
      <c r="AO121" s="183"/>
      <c r="AP121" s="183"/>
      <c r="AQ121" s="183"/>
      <c r="AR121" s="183"/>
      <c r="AS121" s="183"/>
      <c r="AT121" s="183"/>
      <c r="AU121" s="183"/>
      <c r="AV121" s="183"/>
      <c r="AW121" s="183"/>
      <c r="AX121" s="183"/>
      <c r="AY121" s="183"/>
      <c r="AZ121" s="183"/>
      <c r="BA121" s="183"/>
      <c r="BB121" s="183"/>
      <c r="BC121" s="183"/>
      <c r="BD121" s="183"/>
      <c r="BE121" s="183"/>
      <c r="BF121" s="183"/>
      <c r="BG121" s="183"/>
      <c r="BH121" s="183"/>
      <c r="BI121" s="183"/>
      <c r="BJ121" s="183"/>
      <c r="BK121" s="243"/>
      <c r="BL121" s="183"/>
      <c r="BM121" s="183"/>
      <c r="BN121" s="183"/>
      <c r="BO121" s="183"/>
      <c r="BP121" s="183"/>
      <c r="BQ121" s="183"/>
      <c r="BR121" s="183"/>
      <c r="BS121" s="183"/>
      <c r="BT121" s="183"/>
      <c r="BU121" s="183"/>
      <c r="BV121" s="183"/>
      <c r="BW121" s="183"/>
      <c r="BX121" s="531"/>
      <c r="BY121" s="183"/>
      <c r="BZ121" s="533"/>
      <c r="CA121" s="595"/>
      <c r="CB121" s="183"/>
      <c r="CC121" s="183"/>
      <c r="CD121" s="183"/>
      <c r="CE121" s="183"/>
      <c r="CF121" s="183"/>
      <c r="CG121" s="183"/>
      <c r="CH121" s="183"/>
      <c r="CI121" s="183"/>
      <c r="CJ121" s="183"/>
      <c r="CK121" s="183"/>
      <c r="CL121" s="183"/>
      <c r="CM121" s="183"/>
      <c r="CN121" s="183"/>
      <c r="CO121" s="183"/>
      <c r="CP121" s="183"/>
    </row>
  </sheetData>
  <autoFilter ref="D1:D121"/>
  <mergeCells count="37">
    <mergeCell ref="AW3:AW5"/>
    <mergeCell ref="AX3:AX5"/>
    <mergeCell ref="M4:N4"/>
    <mergeCell ref="S2:T2"/>
    <mergeCell ref="Z4:Z5"/>
    <mergeCell ref="AB4:AC4"/>
    <mergeCell ref="AD4:AD5"/>
    <mergeCell ref="BX3:BX5"/>
    <mergeCell ref="H4:H5"/>
    <mergeCell ref="I4:I5"/>
    <mergeCell ref="J4:J5"/>
    <mergeCell ref="K4:L4"/>
    <mergeCell ref="O4:O5"/>
    <mergeCell ref="P4:P5"/>
    <mergeCell ref="Q4:Q5"/>
    <mergeCell ref="V4:V5"/>
    <mergeCell ref="W4:W5"/>
    <mergeCell ref="H3:J3"/>
    <mergeCell ref="AI4:AI5"/>
    <mergeCell ref="S5:T5"/>
    <mergeCell ref="AE4:AE5"/>
    <mergeCell ref="AF4:AF5"/>
    <mergeCell ref="AR3:AR5"/>
    <mergeCell ref="A1:AN1"/>
    <mergeCell ref="A3:A5"/>
    <mergeCell ref="K3:N3"/>
    <mergeCell ref="O3:Q3"/>
    <mergeCell ref="S3:T3"/>
    <mergeCell ref="V3:AF3"/>
    <mergeCell ref="AN3:AN5"/>
    <mergeCell ref="C3:C5"/>
    <mergeCell ref="D3:D5"/>
    <mergeCell ref="E4:E5"/>
    <mergeCell ref="F4:F5"/>
    <mergeCell ref="G4:G5"/>
    <mergeCell ref="E3:G3"/>
    <mergeCell ref="Y4:Y5"/>
  </mergeCells>
  <pageMargins left="0" right="0" top="0.19685039370078741" bottom="0" header="0.11811023622047245" footer="0.11811023622047245"/>
  <pageSetup paperSize="9" scale="28" orientation="landscape" r:id="rId1"/>
  <headerFooter scaleWithDoc="0" alignWithMargins="0"/>
  <rowBreaks count="4" manualBreakCount="4">
    <brk id="20" max="71" man="1"/>
    <brk id="41" max="71" man="1"/>
    <brk id="60" max="68" man="1"/>
    <brk id="81" max="68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U20"/>
  <sheetViews>
    <sheetView view="pageBreakPreview" zoomScale="50" zoomScaleNormal="85" zoomScaleSheetLayoutView="50" workbookViewId="0">
      <pane ySplit="7" topLeftCell="A8" activePane="bottomLeft" state="frozen"/>
      <selection pane="bottomLeft" activeCell="L9" sqref="L9"/>
    </sheetView>
  </sheetViews>
  <sheetFormatPr defaultRowHeight="24.75" outlineLevelRow="1" x14ac:dyDescent="0.2"/>
  <cols>
    <col min="1" max="1" width="8" style="256" customWidth="1"/>
    <col min="2" max="2" width="85.25" style="269" customWidth="1"/>
    <col min="3" max="3" width="22.875" style="246" customWidth="1"/>
    <col min="4" max="4" width="9.125" style="245" hidden="1" customWidth="1"/>
    <col min="5" max="5" width="1.25" style="245" hidden="1" customWidth="1"/>
    <col min="6" max="6" width="23.125" style="254" customWidth="1"/>
    <col min="7" max="7" width="21.25" style="250" hidden="1" customWidth="1"/>
    <col min="8" max="8" width="23.125" style="250" hidden="1" customWidth="1"/>
    <col min="9" max="9" width="21.25" style="252" customWidth="1"/>
    <col min="10" max="10" width="3.375" style="251" hidden="1" customWidth="1"/>
    <col min="11" max="11" width="12" style="251" customWidth="1"/>
    <col min="12" max="12" width="27.875" style="246" customWidth="1"/>
    <col min="13" max="13" width="12.75" style="245" hidden="1" customWidth="1"/>
    <col min="14" max="14" width="24" style="250" customWidth="1"/>
    <col min="15" max="15" width="6.625" style="250" hidden="1" customWidth="1"/>
    <col min="16" max="16" width="9.875" style="250" hidden="1" customWidth="1"/>
    <col min="17" max="17" width="25.875" style="250" customWidth="1"/>
    <col min="18" max="18" width="21" style="250" customWidth="1"/>
    <col min="19" max="19" width="82.125" style="268" customWidth="1"/>
    <col min="20" max="20" width="55.125" style="264" customWidth="1"/>
    <col min="21" max="21" width="31.125" style="245" customWidth="1"/>
    <col min="22" max="266" width="8" style="245" customWidth="1"/>
    <col min="267" max="267" width="0" style="245" hidden="1" customWidth="1"/>
    <col min="268" max="268" width="75" style="245" customWidth="1"/>
    <col min="269" max="270" width="0" style="245" hidden="1" customWidth="1"/>
    <col min="271" max="271" width="20.875" style="245" customWidth="1"/>
    <col min="272" max="522" width="8" style="245" customWidth="1"/>
    <col min="523" max="523" width="0" style="245" hidden="1" customWidth="1"/>
    <col min="524" max="524" width="75" style="245" customWidth="1"/>
    <col min="525" max="526" width="0" style="245" hidden="1" customWidth="1"/>
    <col min="527" max="527" width="20.875" style="245" customWidth="1"/>
    <col min="528" max="778" width="8" style="245" customWidth="1"/>
    <col min="779" max="779" width="0" style="245" hidden="1" customWidth="1"/>
    <col min="780" max="780" width="75" style="245" customWidth="1"/>
    <col min="781" max="782" width="0" style="245" hidden="1" customWidth="1"/>
    <col min="783" max="783" width="20.875" style="245" customWidth="1"/>
    <col min="784" max="1034" width="8" style="245" customWidth="1"/>
    <col min="1035" max="1035" width="0" style="245" hidden="1" customWidth="1"/>
    <col min="1036" max="1036" width="75" style="245" customWidth="1"/>
    <col min="1037" max="1038" width="0" style="245" hidden="1" customWidth="1"/>
    <col min="1039" max="1039" width="20.875" style="245" customWidth="1"/>
    <col min="1040" max="1290" width="8" style="245" customWidth="1"/>
    <col min="1291" max="1291" width="0" style="245" hidden="1" customWidth="1"/>
    <col min="1292" max="1292" width="75" style="245" customWidth="1"/>
    <col min="1293" max="1294" width="0" style="245" hidden="1" customWidth="1"/>
    <col min="1295" max="1295" width="20.875" style="245" customWidth="1"/>
    <col min="1296" max="1546" width="8" style="245" customWidth="1"/>
    <col min="1547" max="1547" width="0" style="245" hidden="1" customWidth="1"/>
    <col min="1548" max="1548" width="75" style="245" customWidth="1"/>
    <col min="1549" max="1550" width="0" style="245" hidden="1" customWidth="1"/>
    <col min="1551" max="1551" width="20.875" style="245" customWidth="1"/>
    <col min="1552" max="1802" width="8" style="245" customWidth="1"/>
    <col min="1803" max="1803" width="0" style="245" hidden="1" customWidth="1"/>
    <col min="1804" max="1804" width="75" style="245" customWidth="1"/>
    <col min="1805" max="1806" width="0" style="245" hidden="1" customWidth="1"/>
    <col min="1807" max="1807" width="20.875" style="245" customWidth="1"/>
    <col min="1808" max="2058" width="8" style="245" customWidth="1"/>
    <col min="2059" max="2059" width="0" style="245" hidden="1" customWidth="1"/>
    <col min="2060" max="2060" width="75" style="245" customWidth="1"/>
    <col min="2061" max="2062" width="0" style="245" hidden="1" customWidth="1"/>
    <col min="2063" max="2063" width="20.875" style="245" customWidth="1"/>
    <col min="2064" max="2314" width="8" style="245" customWidth="1"/>
    <col min="2315" max="2315" width="0" style="245" hidden="1" customWidth="1"/>
    <col min="2316" max="2316" width="75" style="245" customWidth="1"/>
    <col min="2317" max="2318" width="0" style="245" hidden="1" customWidth="1"/>
    <col min="2319" max="2319" width="20.875" style="245" customWidth="1"/>
    <col min="2320" max="2570" width="8" style="245" customWidth="1"/>
    <col min="2571" max="2571" width="0" style="245" hidden="1" customWidth="1"/>
    <col min="2572" max="2572" width="75" style="245" customWidth="1"/>
    <col min="2573" max="2574" width="0" style="245" hidden="1" customWidth="1"/>
    <col min="2575" max="2575" width="20.875" style="245" customWidth="1"/>
    <col min="2576" max="2826" width="8" style="245" customWidth="1"/>
    <col min="2827" max="2827" width="0" style="245" hidden="1" customWidth="1"/>
    <col min="2828" max="2828" width="75" style="245" customWidth="1"/>
    <col min="2829" max="2830" width="0" style="245" hidden="1" customWidth="1"/>
    <col min="2831" max="2831" width="20.875" style="245" customWidth="1"/>
    <col min="2832" max="3082" width="8" style="245" customWidth="1"/>
    <col min="3083" max="3083" width="0" style="245" hidden="1" customWidth="1"/>
    <col min="3084" max="3084" width="75" style="245" customWidth="1"/>
    <col min="3085" max="3086" width="0" style="245" hidden="1" customWidth="1"/>
    <col min="3087" max="3087" width="20.875" style="245" customWidth="1"/>
    <col min="3088" max="3338" width="8" style="245" customWidth="1"/>
    <col min="3339" max="3339" width="0" style="245" hidden="1" customWidth="1"/>
    <col min="3340" max="3340" width="75" style="245" customWidth="1"/>
    <col min="3341" max="3342" width="0" style="245" hidden="1" customWidth="1"/>
    <col min="3343" max="3343" width="20.875" style="245" customWidth="1"/>
    <col min="3344" max="3594" width="8" style="245" customWidth="1"/>
    <col min="3595" max="3595" width="0" style="245" hidden="1" customWidth="1"/>
    <col min="3596" max="3596" width="75" style="245" customWidth="1"/>
    <col min="3597" max="3598" width="0" style="245" hidden="1" customWidth="1"/>
    <col min="3599" max="3599" width="20.875" style="245" customWidth="1"/>
    <col min="3600" max="3850" width="8" style="245" customWidth="1"/>
    <col min="3851" max="3851" width="0" style="245" hidden="1" customWidth="1"/>
    <col min="3852" max="3852" width="75" style="245" customWidth="1"/>
    <col min="3853" max="3854" width="0" style="245" hidden="1" customWidth="1"/>
    <col min="3855" max="3855" width="20.875" style="245" customWidth="1"/>
    <col min="3856" max="4106" width="8" style="245" customWidth="1"/>
    <col min="4107" max="4107" width="0" style="245" hidden="1" customWidth="1"/>
    <col min="4108" max="4108" width="75" style="245" customWidth="1"/>
    <col min="4109" max="4110" width="0" style="245" hidden="1" customWidth="1"/>
    <col min="4111" max="4111" width="20.875" style="245" customWidth="1"/>
    <col min="4112" max="4362" width="8" style="245" customWidth="1"/>
    <col min="4363" max="4363" width="0" style="245" hidden="1" customWidth="1"/>
    <col min="4364" max="4364" width="75" style="245" customWidth="1"/>
    <col min="4365" max="4366" width="0" style="245" hidden="1" customWidth="1"/>
    <col min="4367" max="4367" width="20.875" style="245" customWidth="1"/>
    <col min="4368" max="4618" width="8" style="245" customWidth="1"/>
    <col min="4619" max="4619" width="0" style="245" hidden="1" customWidth="1"/>
    <col min="4620" max="4620" width="75" style="245" customWidth="1"/>
    <col min="4621" max="4622" width="0" style="245" hidden="1" customWidth="1"/>
    <col min="4623" max="4623" width="20.875" style="245" customWidth="1"/>
    <col min="4624" max="4874" width="8" style="245" customWidth="1"/>
    <col min="4875" max="4875" width="0" style="245" hidden="1" customWidth="1"/>
    <col min="4876" max="4876" width="75" style="245" customWidth="1"/>
    <col min="4877" max="4878" width="0" style="245" hidden="1" customWidth="1"/>
    <col min="4879" max="4879" width="20.875" style="245" customWidth="1"/>
    <col min="4880" max="5130" width="8" style="245" customWidth="1"/>
    <col min="5131" max="5131" width="0" style="245" hidden="1" customWidth="1"/>
    <col min="5132" max="5132" width="75" style="245" customWidth="1"/>
    <col min="5133" max="5134" width="0" style="245" hidden="1" customWidth="1"/>
    <col min="5135" max="5135" width="20.875" style="245" customWidth="1"/>
    <col min="5136" max="5386" width="8" style="245" customWidth="1"/>
    <col min="5387" max="5387" width="0" style="245" hidden="1" customWidth="1"/>
    <col min="5388" max="5388" width="75" style="245" customWidth="1"/>
    <col min="5389" max="5390" width="0" style="245" hidden="1" customWidth="1"/>
    <col min="5391" max="5391" width="20.875" style="245" customWidth="1"/>
    <col min="5392" max="5642" width="8" style="245" customWidth="1"/>
    <col min="5643" max="5643" width="0" style="245" hidden="1" customWidth="1"/>
    <col min="5644" max="5644" width="75" style="245" customWidth="1"/>
    <col min="5645" max="5646" width="0" style="245" hidden="1" customWidth="1"/>
    <col min="5647" max="5647" width="20.875" style="245" customWidth="1"/>
    <col min="5648" max="5898" width="8" style="245" customWidth="1"/>
    <col min="5899" max="5899" width="0" style="245" hidden="1" customWidth="1"/>
    <col min="5900" max="5900" width="75" style="245" customWidth="1"/>
    <col min="5901" max="5902" width="0" style="245" hidden="1" customWidth="1"/>
    <col min="5903" max="5903" width="20.875" style="245" customWidth="1"/>
    <col min="5904" max="6154" width="8" style="245" customWidth="1"/>
    <col min="6155" max="6155" width="0" style="245" hidden="1" customWidth="1"/>
    <col min="6156" max="6156" width="75" style="245" customWidth="1"/>
    <col min="6157" max="6158" width="0" style="245" hidden="1" customWidth="1"/>
    <col min="6159" max="6159" width="20.875" style="245" customWidth="1"/>
    <col min="6160" max="6410" width="8" style="245" customWidth="1"/>
    <col min="6411" max="6411" width="0" style="245" hidden="1" customWidth="1"/>
    <col min="6412" max="6412" width="75" style="245" customWidth="1"/>
    <col min="6413" max="6414" width="0" style="245" hidden="1" customWidth="1"/>
    <col min="6415" max="6415" width="20.875" style="245" customWidth="1"/>
    <col min="6416" max="6666" width="8" style="245" customWidth="1"/>
    <col min="6667" max="6667" width="0" style="245" hidden="1" customWidth="1"/>
    <col min="6668" max="6668" width="75" style="245" customWidth="1"/>
    <col min="6669" max="6670" width="0" style="245" hidden="1" customWidth="1"/>
    <col min="6671" max="6671" width="20.875" style="245" customWidth="1"/>
    <col min="6672" max="6922" width="8" style="245" customWidth="1"/>
    <col min="6923" max="6923" width="0" style="245" hidden="1" customWidth="1"/>
    <col min="6924" max="6924" width="75" style="245" customWidth="1"/>
    <col min="6925" max="6926" width="0" style="245" hidden="1" customWidth="1"/>
    <col min="6927" max="6927" width="20.875" style="245" customWidth="1"/>
    <col min="6928" max="7178" width="8" style="245" customWidth="1"/>
    <col min="7179" max="7179" width="0" style="245" hidden="1" customWidth="1"/>
    <col min="7180" max="7180" width="75" style="245" customWidth="1"/>
    <col min="7181" max="7182" width="0" style="245" hidden="1" customWidth="1"/>
    <col min="7183" max="7183" width="20.875" style="245" customWidth="1"/>
    <col min="7184" max="7434" width="8" style="245" customWidth="1"/>
    <col min="7435" max="7435" width="0" style="245" hidden="1" customWidth="1"/>
    <col min="7436" max="7436" width="75" style="245" customWidth="1"/>
    <col min="7437" max="7438" width="0" style="245" hidden="1" customWidth="1"/>
    <col min="7439" max="7439" width="20.875" style="245" customWidth="1"/>
    <col min="7440" max="7690" width="8" style="245" customWidth="1"/>
    <col min="7691" max="7691" width="0" style="245" hidden="1" customWidth="1"/>
    <col min="7692" max="7692" width="75" style="245" customWidth="1"/>
    <col min="7693" max="7694" width="0" style="245" hidden="1" customWidth="1"/>
    <col min="7695" max="7695" width="20.875" style="245" customWidth="1"/>
    <col min="7696" max="7946" width="8" style="245" customWidth="1"/>
    <col min="7947" max="7947" width="0" style="245" hidden="1" customWidth="1"/>
    <col min="7948" max="7948" width="75" style="245" customWidth="1"/>
    <col min="7949" max="7950" width="0" style="245" hidden="1" customWidth="1"/>
    <col min="7951" max="7951" width="20.875" style="245" customWidth="1"/>
    <col min="7952" max="8202" width="8" style="245" customWidth="1"/>
    <col min="8203" max="8203" width="0" style="245" hidden="1" customWidth="1"/>
    <col min="8204" max="8204" width="75" style="245" customWidth="1"/>
    <col min="8205" max="8206" width="0" style="245" hidden="1" customWidth="1"/>
    <col min="8207" max="8207" width="20.875" style="245" customWidth="1"/>
    <col min="8208" max="8458" width="8" style="245" customWidth="1"/>
    <col min="8459" max="8459" width="0" style="245" hidden="1" customWidth="1"/>
    <col min="8460" max="8460" width="75" style="245" customWidth="1"/>
    <col min="8461" max="8462" width="0" style="245" hidden="1" customWidth="1"/>
    <col min="8463" max="8463" width="20.875" style="245" customWidth="1"/>
    <col min="8464" max="8714" width="8" style="245" customWidth="1"/>
    <col min="8715" max="8715" width="0" style="245" hidden="1" customWidth="1"/>
    <col min="8716" max="8716" width="75" style="245" customWidth="1"/>
    <col min="8717" max="8718" width="0" style="245" hidden="1" customWidth="1"/>
    <col min="8719" max="8719" width="20.875" style="245" customWidth="1"/>
    <col min="8720" max="8970" width="8" style="245" customWidth="1"/>
    <col min="8971" max="8971" width="0" style="245" hidden="1" customWidth="1"/>
    <col min="8972" max="8972" width="75" style="245" customWidth="1"/>
    <col min="8973" max="8974" width="0" style="245" hidden="1" customWidth="1"/>
    <col min="8975" max="8975" width="20.875" style="245" customWidth="1"/>
    <col min="8976" max="9226" width="8" style="245" customWidth="1"/>
    <col min="9227" max="9227" width="0" style="245" hidden="1" customWidth="1"/>
    <col min="9228" max="9228" width="75" style="245" customWidth="1"/>
    <col min="9229" max="9230" width="0" style="245" hidden="1" customWidth="1"/>
    <col min="9231" max="9231" width="20.875" style="245" customWidth="1"/>
    <col min="9232" max="9482" width="8" style="245" customWidth="1"/>
    <col min="9483" max="9483" width="0" style="245" hidden="1" customWidth="1"/>
    <col min="9484" max="9484" width="75" style="245" customWidth="1"/>
    <col min="9485" max="9486" width="0" style="245" hidden="1" customWidth="1"/>
    <col min="9487" max="9487" width="20.875" style="245" customWidth="1"/>
    <col min="9488" max="9738" width="8" style="245" customWidth="1"/>
    <col min="9739" max="9739" width="0" style="245" hidden="1" customWidth="1"/>
    <col min="9740" max="9740" width="75" style="245" customWidth="1"/>
    <col min="9741" max="9742" width="0" style="245" hidden="1" customWidth="1"/>
    <col min="9743" max="9743" width="20.875" style="245" customWidth="1"/>
    <col min="9744" max="9994" width="8" style="245" customWidth="1"/>
    <col min="9995" max="9995" width="0" style="245" hidden="1" customWidth="1"/>
    <col min="9996" max="9996" width="75" style="245" customWidth="1"/>
    <col min="9997" max="9998" width="0" style="245" hidden="1" customWidth="1"/>
    <col min="9999" max="9999" width="20.875" style="245" customWidth="1"/>
    <col min="10000" max="10250" width="8" style="245" customWidth="1"/>
    <col min="10251" max="10251" width="0" style="245" hidden="1" customWidth="1"/>
    <col min="10252" max="10252" width="75" style="245" customWidth="1"/>
    <col min="10253" max="10254" width="0" style="245" hidden="1" customWidth="1"/>
    <col min="10255" max="10255" width="20.875" style="245" customWidth="1"/>
    <col min="10256" max="10506" width="8" style="245" customWidth="1"/>
    <col min="10507" max="10507" width="0" style="245" hidden="1" customWidth="1"/>
    <col min="10508" max="10508" width="75" style="245" customWidth="1"/>
    <col min="10509" max="10510" width="0" style="245" hidden="1" customWidth="1"/>
    <col min="10511" max="10511" width="20.875" style="245" customWidth="1"/>
    <col min="10512" max="10762" width="8" style="245" customWidth="1"/>
    <col min="10763" max="10763" width="0" style="245" hidden="1" customWidth="1"/>
    <col min="10764" max="10764" width="75" style="245" customWidth="1"/>
    <col min="10765" max="10766" width="0" style="245" hidden="1" customWidth="1"/>
    <col min="10767" max="10767" width="20.875" style="245" customWidth="1"/>
    <col min="10768" max="11018" width="8" style="245" customWidth="1"/>
    <col min="11019" max="11019" width="0" style="245" hidden="1" customWidth="1"/>
    <col min="11020" max="11020" width="75" style="245" customWidth="1"/>
    <col min="11021" max="11022" width="0" style="245" hidden="1" customWidth="1"/>
    <col min="11023" max="11023" width="20.875" style="245" customWidth="1"/>
    <col min="11024" max="11274" width="8" style="245" customWidth="1"/>
    <col min="11275" max="11275" width="0" style="245" hidden="1" customWidth="1"/>
    <col min="11276" max="11276" width="75" style="245" customWidth="1"/>
    <col min="11277" max="11278" width="0" style="245" hidden="1" customWidth="1"/>
    <col min="11279" max="11279" width="20.875" style="245" customWidth="1"/>
    <col min="11280" max="11530" width="8" style="245" customWidth="1"/>
    <col min="11531" max="11531" width="0" style="245" hidden="1" customWidth="1"/>
    <col min="11532" max="11532" width="75" style="245" customWidth="1"/>
    <col min="11533" max="11534" width="0" style="245" hidden="1" customWidth="1"/>
    <col min="11535" max="11535" width="20.875" style="245" customWidth="1"/>
    <col min="11536" max="11786" width="8" style="245" customWidth="1"/>
    <col min="11787" max="11787" width="0" style="245" hidden="1" customWidth="1"/>
    <col min="11788" max="11788" width="75" style="245" customWidth="1"/>
    <col min="11789" max="11790" width="0" style="245" hidden="1" customWidth="1"/>
    <col min="11791" max="11791" width="20.875" style="245" customWidth="1"/>
    <col min="11792" max="12042" width="8" style="245" customWidth="1"/>
    <col min="12043" max="12043" width="0" style="245" hidden="1" customWidth="1"/>
    <col min="12044" max="12044" width="75" style="245" customWidth="1"/>
    <col min="12045" max="12046" width="0" style="245" hidden="1" customWidth="1"/>
    <col min="12047" max="12047" width="20.875" style="245" customWidth="1"/>
    <col min="12048" max="12298" width="8" style="245" customWidth="1"/>
    <col min="12299" max="12299" width="0" style="245" hidden="1" customWidth="1"/>
    <col min="12300" max="12300" width="75" style="245" customWidth="1"/>
    <col min="12301" max="12302" width="0" style="245" hidden="1" customWidth="1"/>
    <col min="12303" max="12303" width="20.875" style="245" customWidth="1"/>
    <col min="12304" max="12554" width="8" style="245" customWidth="1"/>
    <col min="12555" max="12555" width="0" style="245" hidden="1" customWidth="1"/>
    <col min="12556" max="12556" width="75" style="245" customWidth="1"/>
    <col min="12557" max="12558" width="0" style="245" hidden="1" customWidth="1"/>
    <col min="12559" max="12559" width="20.875" style="245" customWidth="1"/>
    <col min="12560" max="12810" width="8" style="245" customWidth="1"/>
    <col min="12811" max="12811" width="0" style="245" hidden="1" customWidth="1"/>
    <col min="12812" max="12812" width="75" style="245" customWidth="1"/>
    <col min="12813" max="12814" width="0" style="245" hidden="1" customWidth="1"/>
    <col min="12815" max="12815" width="20.875" style="245" customWidth="1"/>
    <col min="12816" max="13066" width="8" style="245" customWidth="1"/>
    <col min="13067" max="13067" width="0" style="245" hidden="1" customWidth="1"/>
    <col min="13068" max="13068" width="75" style="245" customWidth="1"/>
    <col min="13069" max="13070" width="0" style="245" hidden="1" customWidth="1"/>
    <col min="13071" max="13071" width="20.875" style="245" customWidth="1"/>
    <col min="13072" max="13322" width="8" style="245" customWidth="1"/>
    <col min="13323" max="13323" width="0" style="245" hidden="1" customWidth="1"/>
    <col min="13324" max="13324" width="75" style="245" customWidth="1"/>
    <col min="13325" max="13326" width="0" style="245" hidden="1" customWidth="1"/>
    <col min="13327" max="13327" width="20.875" style="245" customWidth="1"/>
    <col min="13328" max="13578" width="8" style="245" customWidth="1"/>
    <col min="13579" max="13579" width="0" style="245" hidden="1" customWidth="1"/>
    <col min="13580" max="13580" width="75" style="245" customWidth="1"/>
    <col min="13581" max="13582" width="0" style="245" hidden="1" customWidth="1"/>
    <col min="13583" max="13583" width="20.875" style="245" customWidth="1"/>
    <col min="13584" max="13834" width="8" style="245" customWidth="1"/>
    <col min="13835" max="13835" width="0" style="245" hidden="1" customWidth="1"/>
    <col min="13836" max="13836" width="75" style="245" customWidth="1"/>
    <col min="13837" max="13838" width="0" style="245" hidden="1" customWidth="1"/>
    <col min="13839" max="13839" width="20.875" style="245" customWidth="1"/>
    <col min="13840" max="14090" width="8" style="245" customWidth="1"/>
    <col min="14091" max="14091" width="0" style="245" hidden="1" customWidth="1"/>
    <col min="14092" max="14092" width="75" style="245" customWidth="1"/>
    <col min="14093" max="14094" width="0" style="245" hidden="1" customWidth="1"/>
    <col min="14095" max="14095" width="20.875" style="245" customWidth="1"/>
    <col min="14096" max="14346" width="8" style="245" customWidth="1"/>
    <col min="14347" max="14347" width="0" style="245" hidden="1" customWidth="1"/>
    <col min="14348" max="14348" width="75" style="245" customWidth="1"/>
    <col min="14349" max="14350" width="0" style="245" hidden="1" customWidth="1"/>
    <col min="14351" max="14351" width="20.875" style="245" customWidth="1"/>
    <col min="14352" max="14602" width="8" style="245" customWidth="1"/>
    <col min="14603" max="14603" width="0" style="245" hidden="1" customWidth="1"/>
    <col min="14604" max="14604" width="75" style="245" customWidth="1"/>
    <col min="14605" max="14606" width="0" style="245" hidden="1" customWidth="1"/>
    <col min="14607" max="14607" width="20.875" style="245" customWidth="1"/>
    <col min="14608" max="14858" width="8" style="245" customWidth="1"/>
    <col min="14859" max="14859" width="0" style="245" hidden="1" customWidth="1"/>
    <col min="14860" max="14860" width="75" style="245" customWidth="1"/>
    <col min="14861" max="14862" width="0" style="245" hidden="1" customWidth="1"/>
    <col min="14863" max="14863" width="20.875" style="245" customWidth="1"/>
    <col min="14864" max="15114" width="8" style="245" customWidth="1"/>
    <col min="15115" max="15115" width="0" style="245" hidden="1" customWidth="1"/>
    <col min="15116" max="15116" width="75" style="245" customWidth="1"/>
    <col min="15117" max="15118" width="0" style="245" hidden="1" customWidth="1"/>
    <col min="15119" max="15119" width="20.875" style="245" customWidth="1"/>
    <col min="15120" max="15370" width="8" style="245" customWidth="1"/>
    <col min="15371" max="15371" width="0" style="245" hidden="1" customWidth="1"/>
    <col min="15372" max="15372" width="75" style="245" customWidth="1"/>
    <col min="15373" max="15374" width="0" style="245" hidden="1" customWidth="1"/>
    <col min="15375" max="15375" width="20.875" style="245" customWidth="1"/>
    <col min="15376" max="15626" width="8" style="245" customWidth="1"/>
    <col min="15627" max="15627" width="0" style="245" hidden="1" customWidth="1"/>
    <col min="15628" max="15628" width="75" style="245" customWidth="1"/>
    <col min="15629" max="15630" width="0" style="245" hidden="1" customWidth="1"/>
    <col min="15631" max="15631" width="20.875" style="245" customWidth="1"/>
    <col min="15632" max="15882" width="8" style="245" customWidth="1"/>
    <col min="15883" max="15883" width="0" style="245" hidden="1" customWidth="1"/>
    <col min="15884" max="15884" width="75" style="245" customWidth="1"/>
    <col min="15885" max="15886" width="0" style="245" hidden="1" customWidth="1"/>
    <col min="15887" max="15887" width="20.875" style="245" customWidth="1"/>
    <col min="15888" max="16138" width="8" style="245" customWidth="1"/>
    <col min="16139" max="16139" width="0" style="245" hidden="1" customWidth="1"/>
    <col min="16140" max="16140" width="75" style="245" customWidth="1"/>
    <col min="16141" max="16142" width="0" style="245" hidden="1" customWidth="1"/>
    <col min="16143" max="16143" width="20.875" style="245" customWidth="1"/>
    <col min="16144" max="16384" width="8" style="245" customWidth="1"/>
  </cols>
  <sheetData>
    <row r="1" spans="1:21" ht="48.75" customHeight="1" x14ac:dyDescent="0.2">
      <c r="B1" s="1429" t="s">
        <v>602</v>
      </c>
      <c r="C1" s="1429"/>
      <c r="D1" s="1429"/>
      <c r="E1" s="1429"/>
      <c r="F1" s="1429"/>
      <c r="G1" s="1429"/>
      <c r="H1" s="1429"/>
      <c r="I1" s="1429"/>
      <c r="J1" s="1429"/>
      <c r="K1" s="1429"/>
      <c r="L1" s="1429"/>
      <c r="M1" s="1429"/>
      <c r="N1" s="1429"/>
      <c r="O1" s="1429"/>
      <c r="P1" s="1429"/>
      <c r="Q1" s="1429"/>
      <c r="R1" s="1429"/>
      <c r="S1" s="1429"/>
      <c r="T1" s="257"/>
    </row>
    <row r="2" spans="1:21" ht="146.25" customHeight="1" x14ac:dyDescent="0.2">
      <c r="B2" s="1430" t="s">
        <v>618</v>
      </c>
      <c r="C2" s="1430"/>
      <c r="D2" s="1430"/>
      <c r="E2" s="1430"/>
      <c r="F2" s="1430"/>
      <c r="G2" s="1430"/>
      <c r="H2" s="1430"/>
      <c r="I2" s="1430"/>
      <c r="J2" s="1430"/>
      <c r="K2" s="1430"/>
      <c r="L2" s="1430"/>
      <c r="M2" s="1430"/>
      <c r="N2" s="1430"/>
      <c r="O2" s="1430"/>
      <c r="P2" s="1430"/>
      <c r="Q2" s="1430"/>
      <c r="R2" s="1430"/>
      <c r="S2" s="1430"/>
      <c r="T2" s="257"/>
    </row>
    <row r="3" spans="1:21" ht="36.75" customHeight="1" x14ac:dyDescent="0.2">
      <c r="B3" s="1428" t="s">
        <v>599</v>
      </c>
      <c r="C3" s="1428"/>
      <c r="D3" s="1428"/>
      <c r="E3" s="1428"/>
      <c r="F3" s="1428"/>
      <c r="G3" s="1428"/>
      <c r="H3" s="1428"/>
      <c r="I3" s="1428"/>
      <c r="J3" s="1428"/>
      <c r="K3" s="1428"/>
      <c r="L3" s="1428"/>
      <c r="M3" s="1428"/>
      <c r="N3" s="1428"/>
      <c r="O3" s="1428"/>
      <c r="P3" s="1428"/>
      <c r="Q3" s="1428"/>
      <c r="R3" s="1428"/>
      <c r="S3" s="1428"/>
      <c r="T3" s="258"/>
    </row>
    <row r="4" spans="1:21" ht="39.75" customHeight="1" x14ac:dyDescent="0.2">
      <c r="B4" s="508"/>
      <c r="C4" s="605"/>
      <c r="D4" s="299"/>
      <c r="E4" s="299"/>
      <c r="F4" s="507"/>
      <c r="G4" s="509"/>
      <c r="H4" s="509"/>
      <c r="I4" s="561"/>
      <c r="J4" s="562"/>
      <c r="K4" s="562"/>
      <c r="L4" s="563"/>
      <c r="M4" s="562"/>
      <c r="N4" s="561"/>
      <c r="O4" s="562"/>
      <c r="P4" s="562"/>
      <c r="Q4" s="563"/>
      <c r="R4" s="563"/>
      <c r="S4" s="564" t="s">
        <v>363</v>
      </c>
      <c r="T4" s="259"/>
    </row>
    <row r="5" spans="1:21" s="247" customFormat="1" ht="28.5" customHeight="1" x14ac:dyDescent="0.2">
      <c r="A5" s="1381" t="s">
        <v>507</v>
      </c>
      <c r="B5" s="517" t="s">
        <v>364</v>
      </c>
      <c r="C5" s="274" t="s">
        <v>201</v>
      </c>
      <c r="D5" s="267"/>
      <c r="E5" s="267"/>
      <c r="F5" s="274" t="s">
        <v>192</v>
      </c>
      <c r="G5" s="1382" t="s">
        <v>454</v>
      </c>
      <c r="H5" s="1383"/>
      <c r="I5" s="1384" t="s">
        <v>365</v>
      </c>
      <c r="J5" s="1385"/>
      <c r="K5" s="1385"/>
      <c r="L5" s="1385"/>
      <c r="M5" s="1386"/>
      <c r="N5" s="1382" t="s">
        <v>521</v>
      </c>
      <c r="O5" s="1383"/>
      <c r="P5" s="1389" t="s">
        <v>29</v>
      </c>
      <c r="Q5" s="1389" t="s">
        <v>600</v>
      </c>
      <c r="R5" s="274" t="s">
        <v>421</v>
      </c>
      <c r="S5" s="1391" t="s">
        <v>380</v>
      </c>
      <c r="T5" s="260"/>
    </row>
    <row r="6" spans="1:21" s="247" customFormat="1" ht="36" customHeight="1" x14ac:dyDescent="0.2">
      <c r="A6" s="1381"/>
      <c r="B6" s="518" t="s">
        <v>366</v>
      </c>
      <c r="C6" s="275"/>
      <c r="D6" s="267"/>
      <c r="E6" s="267"/>
      <c r="F6" s="276"/>
      <c r="G6" s="273" t="s">
        <v>562</v>
      </c>
      <c r="H6" s="273" t="s">
        <v>563</v>
      </c>
      <c r="I6" s="277" t="s">
        <v>367</v>
      </c>
      <c r="J6" s="277"/>
      <c r="K6" s="277" t="s">
        <v>328</v>
      </c>
      <c r="L6" s="273" t="s">
        <v>368</v>
      </c>
      <c r="M6" s="278"/>
      <c r="N6" s="1387"/>
      <c r="O6" s="1388"/>
      <c r="P6" s="1390"/>
      <c r="Q6" s="1390"/>
      <c r="R6" s="275" t="s">
        <v>601</v>
      </c>
      <c r="S6" s="1392"/>
      <c r="T6" s="261"/>
    </row>
    <row r="7" spans="1:21" ht="20.25" hidden="1" customHeight="1" x14ac:dyDescent="0.2">
      <c r="A7" s="1381"/>
      <c r="B7" s="279" t="s">
        <v>369</v>
      </c>
      <c r="C7" s="265">
        <f>SUMIF(D7:D7,2,C7:C7)</f>
        <v>0</v>
      </c>
      <c r="D7" s="265">
        <f>SUMIF(E7:E7,2,D7:D7)</f>
        <v>0</v>
      </c>
      <c r="E7" s="265">
        <f>SUMIF(I7:I7,2,E7:E7)</f>
        <v>0</v>
      </c>
      <c r="F7" s="265"/>
      <c r="G7" s="265"/>
      <c r="H7" s="265"/>
      <c r="I7" s="265">
        <f>SUMIF(L7:L7,2,I7:I7)</f>
        <v>0</v>
      </c>
      <c r="J7" s="266"/>
      <c r="K7" s="266"/>
      <c r="L7" s="266" t="e">
        <f>SUMIF(#REF!,2,L7:L7)</f>
        <v>#REF!</v>
      </c>
      <c r="M7" s="267"/>
      <c r="N7" s="280" t="e">
        <f>518000-#REF!</f>
        <v>#REF!</v>
      </c>
      <c r="O7" s="278"/>
      <c r="P7" s="278"/>
      <c r="Q7" s="278"/>
      <c r="R7" s="278"/>
      <c r="S7" s="280" t="e">
        <f>#REF!-#REF!</f>
        <v>#REF!</v>
      </c>
      <c r="T7" s="262"/>
    </row>
    <row r="8" spans="1:21" ht="36" customHeight="1" x14ac:dyDescent="0.2">
      <c r="A8" s="248"/>
      <c r="B8" s="272" t="s">
        <v>370</v>
      </c>
      <c r="C8" s="654">
        <f>C9+C10+C11</f>
        <v>8750000</v>
      </c>
      <c r="D8" s="547" t="e">
        <f>D9+D10+#REF!+#REF!+#REF!+D11</f>
        <v>#REF!</v>
      </c>
      <c r="E8" s="547" t="e">
        <f>E9+E10+#REF!+#REF!+#REF!+E11</f>
        <v>#REF!</v>
      </c>
      <c r="F8" s="547"/>
      <c r="G8" s="569" t="e">
        <f>G9+G10+#REF!+#REF!+#REF!+G11</f>
        <v>#REF!</v>
      </c>
      <c r="H8" s="569" t="e">
        <f>H9+H10+#REF!+#REF!+#REF!+H11</f>
        <v>#REF!</v>
      </c>
      <c r="I8" s="547">
        <f>I9+I10+I11</f>
        <v>7950400</v>
      </c>
      <c r="J8" s="547">
        <f>J9+J10+J11</f>
        <v>98.649438202247183</v>
      </c>
      <c r="K8" s="547"/>
      <c r="L8" s="547">
        <f t="shared" ref="L8:R8" si="0">L9+L10+L11</f>
        <v>684000</v>
      </c>
      <c r="M8" s="547">
        <f t="shared" si="0"/>
        <v>0</v>
      </c>
      <c r="N8" s="547">
        <f t="shared" si="0"/>
        <v>115600</v>
      </c>
      <c r="O8" s="547">
        <f t="shared" si="0"/>
        <v>2.8854069304961718</v>
      </c>
      <c r="P8" s="547">
        <f t="shared" si="0"/>
        <v>101.53484513274334</v>
      </c>
      <c r="Q8" s="547">
        <f t="shared" si="0"/>
        <v>114500</v>
      </c>
      <c r="R8" s="547">
        <f t="shared" si="0"/>
        <v>1100</v>
      </c>
      <c r="S8" s="516"/>
      <c r="T8" s="514"/>
    </row>
    <row r="9" spans="1:21" s="255" customFormat="1" ht="169.5" customHeight="1" outlineLevel="1" x14ac:dyDescent="0.2">
      <c r="A9" s="651">
        <v>1</v>
      </c>
      <c r="B9" s="530" t="s">
        <v>508</v>
      </c>
      <c r="C9" s="290">
        <f>3650000+800000</f>
        <v>4450000</v>
      </c>
      <c r="D9" s="512">
        <v>5</v>
      </c>
      <c r="E9" s="512"/>
      <c r="F9" s="270" t="s">
        <v>509</v>
      </c>
      <c r="G9" s="293"/>
      <c r="H9" s="293">
        <f>3952400+1510900-562870</f>
        <v>4900430</v>
      </c>
      <c r="I9" s="652">
        <f>3599000+790900</f>
        <v>4389900</v>
      </c>
      <c r="J9" s="652">
        <f>I9/C9*100</f>
        <v>98.649438202247183</v>
      </c>
      <c r="K9" s="652">
        <f>I9/C9*100</f>
        <v>98.649438202247183</v>
      </c>
      <c r="L9" s="283">
        <v>0</v>
      </c>
      <c r="M9" s="281">
        <f>L9/C9*100</f>
        <v>0</v>
      </c>
      <c r="N9" s="696">
        <f>51000+9100</f>
        <v>60100</v>
      </c>
      <c r="O9" s="697">
        <f>N9/C9*100</f>
        <v>1.350561797752809</v>
      </c>
      <c r="P9" s="696">
        <f>J9+M9+O9</f>
        <v>99.999999999999986</v>
      </c>
      <c r="Q9" s="696">
        <f>N9-1100</f>
        <v>59000</v>
      </c>
      <c r="R9" s="696">
        <f>N9-Q9</f>
        <v>1100</v>
      </c>
      <c r="S9" s="513" t="s">
        <v>609</v>
      </c>
      <c r="T9" s="653">
        <f>I9+L9+N9</f>
        <v>4450000</v>
      </c>
    </row>
    <row r="10" spans="1:21" ht="190.5" customHeight="1" outlineLevel="1" x14ac:dyDescent="0.2">
      <c r="A10" s="248">
        <v>2</v>
      </c>
      <c r="B10" s="515" t="s">
        <v>371</v>
      </c>
      <c r="C10" s="286">
        <f>4300000-684000</f>
        <v>3616000</v>
      </c>
      <c r="D10" s="287">
        <v>5</v>
      </c>
      <c r="E10" s="287"/>
      <c r="F10" s="270" t="s">
        <v>509</v>
      </c>
      <c r="G10" s="288">
        <v>0</v>
      </c>
      <c r="H10" s="288">
        <v>4244500</v>
      </c>
      <c r="I10" s="289">
        <f>4244500-684000</f>
        <v>3560500</v>
      </c>
      <c r="J10" s="289"/>
      <c r="K10" s="289">
        <f>I10/C10*100</f>
        <v>98.465154867256629</v>
      </c>
      <c r="L10" s="520">
        <v>0</v>
      </c>
      <c r="M10" s="288">
        <f>L10/C10*100</f>
        <v>0</v>
      </c>
      <c r="N10" s="548">
        <v>55500</v>
      </c>
      <c r="O10" s="694">
        <f>N10/C10*100</f>
        <v>1.5348451327433628</v>
      </c>
      <c r="P10" s="695">
        <f>J10+M10+O10</f>
        <v>1.5348451327433628</v>
      </c>
      <c r="Q10" s="695">
        <v>55500</v>
      </c>
      <c r="R10" s="271">
        <v>0</v>
      </c>
      <c r="S10" s="249" t="s">
        <v>620</v>
      </c>
      <c r="T10" s="519" t="s">
        <v>549</v>
      </c>
      <c r="U10" s="526"/>
    </row>
    <row r="11" spans="1:21" s="255" customFormat="1" ht="153" customHeight="1" outlineLevel="1" x14ac:dyDescent="0.2">
      <c r="A11" s="291">
        <v>3</v>
      </c>
      <c r="B11" s="282" t="s">
        <v>557</v>
      </c>
      <c r="C11" s="655">
        <v>684000</v>
      </c>
      <c r="D11" s="656"/>
      <c r="E11" s="656"/>
      <c r="F11" s="657" t="s">
        <v>550</v>
      </c>
      <c r="G11" s="293">
        <v>0</v>
      </c>
      <c r="H11" s="658">
        <v>0</v>
      </c>
      <c r="I11" s="659">
        <v>0</v>
      </c>
      <c r="J11" s="659"/>
      <c r="K11" s="659">
        <f>I11/C11*100</f>
        <v>0</v>
      </c>
      <c r="L11" s="660">
        <f>C11-I11</f>
        <v>684000</v>
      </c>
      <c r="M11" s="284"/>
      <c r="N11" s="285">
        <v>0</v>
      </c>
      <c r="O11" s="661"/>
      <c r="P11" s="662"/>
      <c r="Q11" s="662">
        <v>0</v>
      </c>
      <c r="R11" s="662">
        <v>0</v>
      </c>
      <c r="S11" s="281" t="s">
        <v>619</v>
      </c>
      <c r="T11" s="263"/>
    </row>
    <row r="12" spans="1:21" ht="39.75" customHeight="1" x14ac:dyDescent="0.2">
      <c r="A12" s="693"/>
      <c r="B12" s="689" t="s">
        <v>616</v>
      </c>
      <c r="C12" s="698">
        <f>C9+C10+C11</f>
        <v>8750000</v>
      </c>
      <c r="D12" s="698">
        <f t="shared" ref="D12:R12" si="1">D9+D10+D11</f>
        <v>10</v>
      </c>
      <c r="E12" s="698">
        <f t="shared" si="1"/>
        <v>0</v>
      </c>
      <c r="F12" s="698"/>
      <c r="G12" s="698">
        <f t="shared" si="1"/>
        <v>0</v>
      </c>
      <c r="H12" s="698">
        <f t="shared" si="1"/>
        <v>9144930</v>
      </c>
      <c r="I12" s="698">
        <f t="shared" si="1"/>
        <v>7950400</v>
      </c>
      <c r="J12" s="698">
        <f t="shared" si="1"/>
        <v>98.649438202247183</v>
      </c>
      <c r="K12" s="699">
        <f>I12/C12*100</f>
        <v>90.861714285714285</v>
      </c>
      <c r="L12" s="698">
        <f t="shared" si="1"/>
        <v>684000</v>
      </c>
      <c r="M12" s="698">
        <f t="shared" si="1"/>
        <v>0</v>
      </c>
      <c r="N12" s="698">
        <f t="shared" si="1"/>
        <v>115600</v>
      </c>
      <c r="O12" s="698">
        <f t="shared" si="1"/>
        <v>2.8854069304961718</v>
      </c>
      <c r="P12" s="698">
        <f t="shared" si="1"/>
        <v>101.53484513274334</v>
      </c>
      <c r="Q12" s="698">
        <f t="shared" si="1"/>
        <v>114500</v>
      </c>
      <c r="R12" s="698">
        <f t="shared" si="1"/>
        <v>1100</v>
      </c>
      <c r="S12" s="692"/>
    </row>
    <row r="13" spans="1:21" ht="45.75" customHeight="1" x14ac:dyDescent="0.2"/>
    <row r="14" spans="1:21" s="665" customFormat="1" ht="107.25" customHeight="1" x14ac:dyDescent="0.2">
      <c r="A14" s="663"/>
      <c r="B14" s="1423" t="s">
        <v>610</v>
      </c>
      <c r="C14" s="1423"/>
      <c r="D14" s="1423"/>
      <c r="E14" s="1423"/>
      <c r="F14" s="1423"/>
      <c r="G14" s="1423"/>
      <c r="H14" s="1423"/>
      <c r="I14" s="1423"/>
      <c r="J14" s="1423"/>
      <c r="K14" s="1423"/>
      <c r="L14" s="1423"/>
      <c r="M14" s="1423"/>
      <c r="N14" s="1423"/>
      <c r="O14" s="1423"/>
      <c r="P14" s="1423"/>
      <c r="Q14" s="1423"/>
      <c r="R14" s="1423"/>
      <c r="S14" s="1423"/>
      <c r="T14" s="664"/>
    </row>
    <row r="15" spans="1:21" s="247" customFormat="1" ht="28.5" customHeight="1" x14ac:dyDescent="0.2">
      <c r="A15" s="1421" t="s">
        <v>507</v>
      </c>
      <c r="B15" s="517" t="s">
        <v>364</v>
      </c>
      <c r="C15" s="274" t="s">
        <v>201</v>
      </c>
      <c r="D15" s="267"/>
      <c r="E15" s="267"/>
      <c r="F15" s="274" t="s">
        <v>192</v>
      </c>
      <c r="G15" s="1382" t="s">
        <v>454</v>
      </c>
      <c r="H15" s="1383"/>
      <c r="I15" s="1384" t="s">
        <v>365</v>
      </c>
      <c r="J15" s="1385"/>
      <c r="K15" s="1385"/>
      <c r="L15" s="1385"/>
      <c r="M15" s="1386"/>
      <c r="N15" s="1382" t="s">
        <v>521</v>
      </c>
      <c r="O15" s="1383"/>
      <c r="P15" s="1389" t="s">
        <v>29</v>
      </c>
      <c r="Q15" s="1389" t="s">
        <v>600</v>
      </c>
      <c r="R15" s="274" t="s">
        <v>421</v>
      </c>
      <c r="S15" s="1391" t="s">
        <v>380</v>
      </c>
      <c r="T15" s="260"/>
    </row>
    <row r="16" spans="1:21" s="247" customFormat="1" ht="36" customHeight="1" x14ac:dyDescent="0.2">
      <c r="A16" s="1422"/>
      <c r="B16" s="666" t="s">
        <v>366</v>
      </c>
      <c r="C16" s="667"/>
      <c r="D16" s="267"/>
      <c r="E16" s="267"/>
      <c r="F16" s="668"/>
      <c r="G16" s="274" t="s">
        <v>562</v>
      </c>
      <c r="H16" s="274" t="s">
        <v>563</v>
      </c>
      <c r="I16" s="669" t="s">
        <v>367</v>
      </c>
      <c r="J16" s="669"/>
      <c r="K16" s="669"/>
      <c r="L16" s="274" t="s">
        <v>368</v>
      </c>
      <c r="M16" s="670"/>
      <c r="N16" s="1424"/>
      <c r="O16" s="1425"/>
      <c r="P16" s="1426"/>
      <c r="Q16" s="1426"/>
      <c r="R16" s="667" t="s">
        <v>601</v>
      </c>
      <c r="S16" s="1427"/>
      <c r="T16" s="261"/>
    </row>
    <row r="17" spans="1:20" s="673" customFormat="1" ht="105" customHeight="1" x14ac:dyDescent="0.2">
      <c r="A17" s="686">
        <v>1</v>
      </c>
      <c r="B17" s="684" t="s">
        <v>611</v>
      </c>
      <c r="C17" s="675"/>
      <c r="D17" s="513"/>
      <c r="E17" s="513"/>
      <c r="F17" s="281" t="s">
        <v>612</v>
      </c>
      <c r="G17" s="671"/>
      <c r="H17" s="671"/>
      <c r="I17" s="672">
        <v>0</v>
      </c>
      <c r="J17" s="672"/>
      <c r="K17" s="672"/>
      <c r="L17" s="676"/>
      <c r="M17" s="677"/>
      <c r="N17" s="678"/>
      <c r="O17" s="671"/>
      <c r="P17" s="671"/>
      <c r="Q17" s="675"/>
      <c r="R17" s="674">
        <v>0</v>
      </c>
      <c r="S17" s="530"/>
      <c r="T17" s="263"/>
    </row>
    <row r="18" spans="1:20" ht="73.5" x14ac:dyDescent="0.2">
      <c r="A18" s="687"/>
      <c r="B18" s="685" t="s">
        <v>613</v>
      </c>
      <c r="C18" s="675">
        <v>800000</v>
      </c>
      <c r="D18" s="513"/>
      <c r="E18" s="513"/>
      <c r="F18" s="281" t="s">
        <v>612</v>
      </c>
      <c r="G18" s="671"/>
      <c r="H18" s="671"/>
      <c r="I18" s="679">
        <v>800000</v>
      </c>
      <c r="J18" s="679"/>
      <c r="K18" s="679"/>
      <c r="L18" s="292">
        <v>0</v>
      </c>
      <c r="M18" s="281"/>
      <c r="N18" s="285">
        <v>0</v>
      </c>
      <c r="O18" s="680"/>
      <c r="P18" s="680"/>
      <c r="Q18" s="681">
        <v>0</v>
      </c>
      <c r="R18" s="285">
        <v>0</v>
      </c>
      <c r="S18" s="530" t="s">
        <v>459</v>
      </c>
    </row>
    <row r="19" spans="1:20" ht="78.75" customHeight="1" x14ac:dyDescent="0.2">
      <c r="A19" s="688"/>
      <c r="B19" s="685" t="s">
        <v>614</v>
      </c>
      <c r="C19" s="675">
        <v>1200000</v>
      </c>
      <c r="D19" s="513"/>
      <c r="E19" s="513"/>
      <c r="F19" s="281" t="s">
        <v>612</v>
      </c>
      <c r="G19" s="671"/>
      <c r="H19" s="671"/>
      <c r="I19" s="672">
        <v>0</v>
      </c>
      <c r="J19" s="672"/>
      <c r="K19" s="672"/>
      <c r="L19" s="676">
        <v>1185000</v>
      </c>
      <c r="M19" s="677"/>
      <c r="N19" s="678">
        <v>15000</v>
      </c>
      <c r="O19" s="671"/>
      <c r="P19" s="671"/>
      <c r="Q19" s="683">
        <v>15000</v>
      </c>
      <c r="R19" s="682">
        <v>0</v>
      </c>
      <c r="S19" s="700" t="s">
        <v>617</v>
      </c>
    </row>
    <row r="20" spans="1:20" ht="38.25" customHeight="1" x14ac:dyDescent="0.2">
      <c r="A20" s="693"/>
      <c r="B20" s="689" t="s">
        <v>615</v>
      </c>
      <c r="C20" s="690">
        <f>C18+C19</f>
        <v>2000000</v>
      </c>
      <c r="D20" s="690">
        <f t="shared" ref="D20:Q20" si="2">D18+D19</f>
        <v>0</v>
      </c>
      <c r="E20" s="690">
        <f t="shared" si="2"/>
        <v>0</v>
      </c>
      <c r="F20" s="690"/>
      <c r="G20" s="690">
        <f t="shared" si="2"/>
        <v>0</v>
      </c>
      <c r="H20" s="690">
        <f t="shared" si="2"/>
        <v>0</v>
      </c>
      <c r="I20" s="690">
        <f t="shared" si="2"/>
        <v>800000</v>
      </c>
      <c r="J20" s="690">
        <f t="shared" si="2"/>
        <v>0</v>
      </c>
      <c r="K20" s="690"/>
      <c r="L20" s="690">
        <f t="shared" si="2"/>
        <v>1185000</v>
      </c>
      <c r="M20" s="690">
        <f t="shared" si="2"/>
        <v>0</v>
      </c>
      <c r="N20" s="690">
        <f t="shared" si="2"/>
        <v>15000</v>
      </c>
      <c r="O20" s="690">
        <f t="shared" si="2"/>
        <v>0</v>
      </c>
      <c r="P20" s="690">
        <f t="shared" si="2"/>
        <v>0</v>
      </c>
      <c r="Q20" s="690">
        <f t="shared" si="2"/>
        <v>15000</v>
      </c>
      <c r="R20" s="691"/>
      <c r="S20" s="692"/>
    </row>
  </sheetData>
  <mergeCells count="18">
    <mergeCell ref="A5:A7"/>
    <mergeCell ref="B3:S3"/>
    <mergeCell ref="N5:O6"/>
    <mergeCell ref="B1:S1"/>
    <mergeCell ref="I5:M5"/>
    <mergeCell ref="P5:P6"/>
    <mergeCell ref="S5:S6"/>
    <mergeCell ref="G5:H5"/>
    <mergeCell ref="Q5:Q6"/>
    <mergeCell ref="B2:S2"/>
    <mergeCell ref="A15:A16"/>
    <mergeCell ref="B14:S14"/>
    <mergeCell ref="G15:H15"/>
    <mergeCell ref="I15:M15"/>
    <mergeCell ref="N15:O16"/>
    <mergeCell ref="P15:P16"/>
    <mergeCell ref="Q15:Q16"/>
    <mergeCell ref="S15:S16"/>
  </mergeCells>
  <printOptions horizontalCentered="1"/>
  <pageMargins left="0" right="0" top="0" bottom="0" header="0.11811023622047245" footer="0"/>
  <pageSetup paperSize="9" scale="40" orientation="landscape" r:id="rId1"/>
  <headerFooter alignWithMargins="0">
    <oddHeader>&amp;Rหน้าที่ 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1048576"/>
  <sheetViews>
    <sheetView workbookViewId="0">
      <selection activeCell="R17" sqref="R17"/>
    </sheetView>
  </sheetViews>
  <sheetFormatPr defaultRowHeight="14.25" x14ac:dyDescent="0.2"/>
  <cols>
    <col min="3" max="3" width="31.875" style="237" customWidth="1"/>
    <col min="5" max="5" width="22.75" style="237" customWidth="1"/>
    <col min="7" max="7" width="17.375" customWidth="1"/>
    <col min="8" max="8" width="14.875" customWidth="1"/>
    <col min="9" max="9" width="12.25" customWidth="1"/>
  </cols>
  <sheetData>
    <row r="1" spans="3:9" x14ac:dyDescent="0.2">
      <c r="C1" s="237">
        <v>3059475</v>
      </c>
      <c r="E1" s="237">
        <v>2960000</v>
      </c>
      <c r="F1">
        <f>100*E1/$E$10</f>
        <v>10.000675721332522</v>
      </c>
      <c r="G1">
        <v>10</v>
      </c>
      <c r="H1">
        <f>G1*29600000/100</f>
        <v>2960000</v>
      </c>
      <c r="I1" s="811">
        <f>H1-E1</f>
        <v>0</v>
      </c>
    </row>
    <row r="2" spans="3:9" x14ac:dyDescent="0.2">
      <c r="C2" s="237">
        <v>3059475</v>
      </c>
      <c r="E2" s="237">
        <v>2960000</v>
      </c>
      <c r="F2">
        <f t="shared" ref="F2:F9" si="0">100*E2/$E$10</f>
        <v>10.000675721332522</v>
      </c>
      <c r="G2">
        <v>10</v>
      </c>
      <c r="H2">
        <f t="shared" ref="H2:H9" si="1">G2*29600000/100</f>
        <v>2960000</v>
      </c>
      <c r="I2" s="811">
        <f t="shared" ref="I2:I9" si="2">H2-E2</f>
        <v>0</v>
      </c>
    </row>
    <row r="3" spans="3:9" x14ac:dyDescent="0.2">
      <c r="C3" s="237">
        <v>3059475</v>
      </c>
      <c r="E3" s="237">
        <v>2960000</v>
      </c>
      <c r="F3">
        <f t="shared" si="0"/>
        <v>10.000675721332522</v>
      </c>
      <c r="G3">
        <v>10</v>
      </c>
      <c r="H3">
        <f t="shared" si="1"/>
        <v>2960000</v>
      </c>
      <c r="I3" s="811">
        <f t="shared" si="2"/>
        <v>0</v>
      </c>
    </row>
    <row r="4" spans="3:9" x14ac:dyDescent="0.2">
      <c r="C4" s="237">
        <v>3059475</v>
      </c>
      <c r="E4" s="237">
        <v>2960000</v>
      </c>
      <c r="F4">
        <f t="shared" si="0"/>
        <v>10.000675721332522</v>
      </c>
      <c r="G4">
        <v>10</v>
      </c>
      <c r="H4">
        <f t="shared" si="1"/>
        <v>2960000</v>
      </c>
      <c r="I4" s="811">
        <f t="shared" si="2"/>
        <v>0</v>
      </c>
    </row>
    <row r="5" spans="3:9" x14ac:dyDescent="0.2">
      <c r="C5" s="237">
        <v>2039650</v>
      </c>
      <c r="E5" s="237">
        <v>3254000</v>
      </c>
      <c r="F5">
        <f t="shared" si="0"/>
        <v>10.99398608014055</v>
      </c>
      <c r="G5">
        <v>11</v>
      </c>
      <c r="H5">
        <f t="shared" si="1"/>
        <v>3256000</v>
      </c>
      <c r="I5" s="811">
        <f t="shared" si="2"/>
        <v>2000</v>
      </c>
    </row>
    <row r="6" spans="3:9" x14ac:dyDescent="0.2">
      <c r="C6" s="237">
        <v>2039650</v>
      </c>
      <c r="E6" s="237">
        <v>3552000</v>
      </c>
      <c r="F6">
        <f t="shared" si="0"/>
        <v>12.000810865599027</v>
      </c>
      <c r="G6">
        <v>12</v>
      </c>
      <c r="H6">
        <f t="shared" si="1"/>
        <v>3552000</v>
      </c>
      <c r="I6" s="811">
        <f t="shared" si="2"/>
        <v>0</v>
      </c>
    </row>
    <row r="7" spans="3:9" x14ac:dyDescent="0.2">
      <c r="C7" s="237">
        <v>2039650</v>
      </c>
      <c r="E7" s="237">
        <v>2960000</v>
      </c>
      <c r="F7">
        <f t="shared" si="0"/>
        <v>10.000675721332522</v>
      </c>
      <c r="G7">
        <v>10</v>
      </c>
      <c r="H7">
        <f t="shared" si="1"/>
        <v>2960000</v>
      </c>
      <c r="I7" s="811">
        <f t="shared" si="2"/>
        <v>0</v>
      </c>
    </row>
    <row r="8" spans="3:9" x14ac:dyDescent="0.2">
      <c r="C8" s="237">
        <v>2039650</v>
      </c>
      <c r="E8" s="237">
        <v>3552000</v>
      </c>
      <c r="F8">
        <f t="shared" si="0"/>
        <v>12.000810865599027</v>
      </c>
      <c r="G8">
        <v>12</v>
      </c>
      <c r="H8">
        <f t="shared" si="1"/>
        <v>3552000</v>
      </c>
      <c r="I8" s="811">
        <f t="shared" si="2"/>
        <v>0</v>
      </c>
    </row>
    <row r="9" spans="3:9" x14ac:dyDescent="0.2">
      <c r="C9" s="828">
        <f>SUM(C1:C8)</f>
        <v>20396500</v>
      </c>
      <c r="E9" s="237">
        <v>4440000</v>
      </c>
      <c r="F9">
        <f t="shared" si="0"/>
        <v>15.001013581998784</v>
      </c>
      <c r="G9">
        <v>15</v>
      </c>
      <c r="H9">
        <f t="shared" si="1"/>
        <v>4440000</v>
      </c>
      <c r="I9" s="811">
        <f t="shared" si="2"/>
        <v>0</v>
      </c>
    </row>
    <row r="10" spans="3:9" x14ac:dyDescent="0.2">
      <c r="E10" s="828">
        <f>SUM(E1:E9)</f>
        <v>29598000</v>
      </c>
      <c r="G10">
        <f>SUM(G1:G9)</f>
        <v>100</v>
      </c>
      <c r="H10" s="829">
        <f>SUM(H1:H9)</f>
        <v>29600000</v>
      </c>
    </row>
    <row r="1048576" spans="3:3" x14ac:dyDescent="0.2">
      <c r="C1048576" s="237">
        <f>SUM(C1:C1048575)</f>
        <v>40793000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4"/>
  <sheetViews>
    <sheetView workbookViewId="0">
      <selection activeCell="E7" sqref="E7"/>
    </sheetView>
  </sheetViews>
  <sheetFormatPr defaultRowHeight="14.25" x14ac:dyDescent="0.2"/>
  <cols>
    <col min="2" max="2" width="18.125" customWidth="1"/>
    <col min="3" max="3" width="18.125" style="237" customWidth="1"/>
    <col min="4" max="4" width="17.25" style="237" customWidth="1"/>
    <col min="5" max="5" width="17" style="237" customWidth="1"/>
    <col min="6" max="6" width="16.875" style="237" customWidth="1"/>
    <col min="7" max="7" width="18.75" customWidth="1"/>
    <col min="8" max="8" width="16.125" style="237" customWidth="1"/>
    <col min="9" max="9" width="18" style="237" customWidth="1"/>
    <col min="18" max="18" width="17.25" style="237" customWidth="1"/>
  </cols>
  <sheetData>
    <row r="1" spans="2:18" ht="33" customHeight="1" x14ac:dyDescent="0.2">
      <c r="B1" s="1431" t="s">
        <v>716</v>
      </c>
      <c r="C1" s="1431"/>
      <c r="D1" s="1431" t="s">
        <v>717</v>
      </c>
      <c r="E1" s="1431"/>
      <c r="F1" s="1431" t="s">
        <v>718</v>
      </c>
      <c r="G1" s="1431"/>
      <c r="H1" s="1431" t="s">
        <v>719</v>
      </c>
      <c r="I1" s="1431"/>
      <c r="R1" s="237">
        <v>4290</v>
      </c>
    </row>
    <row r="2" spans="2:18" x14ac:dyDescent="0.2">
      <c r="B2" s="912" t="s">
        <v>720</v>
      </c>
      <c r="C2" s="913" t="s">
        <v>511</v>
      </c>
      <c r="D2" s="914" t="s">
        <v>720</v>
      </c>
      <c r="E2" s="914" t="s">
        <v>511</v>
      </c>
      <c r="F2" s="915" t="s">
        <v>720</v>
      </c>
      <c r="G2" s="915" t="s">
        <v>511</v>
      </c>
      <c r="H2" s="916" t="s">
        <v>720</v>
      </c>
      <c r="I2" s="916" t="s">
        <v>511</v>
      </c>
      <c r="R2" s="237">
        <v>2150</v>
      </c>
    </row>
    <row r="3" spans="2:18" x14ac:dyDescent="0.2">
      <c r="C3" s="237">
        <v>1320000</v>
      </c>
      <c r="D3" s="237">
        <f>1810900+13488800</f>
        <v>15299700</v>
      </c>
      <c r="E3" s="237">
        <f>41990000</f>
        <v>41990000</v>
      </c>
      <c r="F3" s="237">
        <f>5376866.04+941500+7449822.36</f>
        <v>13768188.4</v>
      </c>
      <c r="G3">
        <v>0</v>
      </c>
      <c r="H3" s="237">
        <f>500000+1600400</f>
        <v>2100400</v>
      </c>
      <c r="I3" s="237">
        <f>27680000+25390000+17588000+25890000</f>
        <v>96548000</v>
      </c>
      <c r="R3" s="237">
        <f>R1-R2</f>
        <v>2140</v>
      </c>
    </row>
    <row r="4" spans="2:18" x14ac:dyDescent="0.2">
      <c r="C4" s="237">
        <v>428630.21</v>
      </c>
      <c r="E4" s="237">
        <v>24979000</v>
      </c>
    </row>
    <row r="5" spans="2:18" x14ac:dyDescent="0.2">
      <c r="C5" s="237">
        <v>495000</v>
      </c>
    </row>
    <row r="6" spans="2:18" x14ac:dyDescent="0.2">
      <c r="C6" s="237">
        <v>5580000</v>
      </c>
      <c r="E6" s="237">
        <f>E3+E4</f>
        <v>66969000</v>
      </c>
    </row>
    <row r="7" spans="2:18" x14ac:dyDescent="0.2">
      <c r="C7" s="237">
        <v>9988000</v>
      </c>
    </row>
    <row r="8" spans="2:18" x14ac:dyDescent="0.2">
      <c r="B8" s="911">
        <f>6103240+580000</f>
        <v>6683240</v>
      </c>
      <c r="C8" s="910">
        <f>SUM(C3:C7)</f>
        <v>17811630.210000001</v>
      </c>
    </row>
    <row r="10" spans="2:18" x14ac:dyDescent="0.2">
      <c r="B10" s="1436">
        <f>B8+C8</f>
        <v>24494870.210000001</v>
      </c>
      <c r="C10" s="1437"/>
      <c r="D10" s="1432">
        <f>D3+E3+E4</f>
        <v>82268700</v>
      </c>
      <c r="E10" s="1432"/>
      <c r="F10" s="1433">
        <f>F3</f>
        <v>13768188.4</v>
      </c>
      <c r="G10" s="1433"/>
      <c r="H10" s="1434">
        <f>H3+I3</f>
        <v>98648400</v>
      </c>
      <c r="I10" s="1434"/>
    </row>
    <row r="12" spans="2:18" x14ac:dyDescent="0.2">
      <c r="R12" s="237">
        <f>4400-3420</f>
        <v>980</v>
      </c>
    </row>
    <row r="14" spans="2:18" ht="42.75" customHeight="1" x14ac:dyDescent="0.2">
      <c r="D14" s="1435">
        <f>B10+D10+F10+H10</f>
        <v>219180158.61000001</v>
      </c>
      <c r="E14" s="1435"/>
    </row>
  </sheetData>
  <mergeCells count="9">
    <mergeCell ref="B1:C1"/>
    <mergeCell ref="B10:C10"/>
    <mergeCell ref="D1:E1"/>
    <mergeCell ref="F1:G1"/>
    <mergeCell ref="H1:I1"/>
    <mergeCell ref="D10:E10"/>
    <mergeCell ref="F10:G10"/>
    <mergeCell ref="H10:I10"/>
    <mergeCell ref="D14:E14"/>
  </mergeCells>
  <phoneticPr fontId="10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19</vt:i4>
      </vt:variant>
      <vt:variant>
        <vt:lpstr>ช่วงที่มีชื่อ</vt:lpstr>
      </vt:variant>
      <vt:variant>
        <vt:i4>12</vt:i4>
      </vt:variant>
    </vt:vector>
  </HeadingPairs>
  <TitlesOfParts>
    <vt:vector size="31" baseType="lpstr">
      <vt:lpstr>เงินกัน ปี 2568</vt:lpstr>
      <vt:lpstr>สรุปทุกงบ (ทิพย์ 25- 09-68)</vt:lpstr>
      <vt:lpstr>เป้าหมายเบิกจ่าย 68</vt:lpstr>
      <vt:lpstr>ปะหน้าประเด็น</vt:lpstr>
      <vt:lpstr>เบิกจ่ายงบจว.</vt:lpstr>
      <vt:lpstr>แบบ 01-68 (30-09- 68) (FINAL</vt:lpstr>
      <vt:lpstr>สนง.การท่องเที่ยว ปี 68</vt:lpstr>
      <vt:lpstr>Sheet6</vt:lpstr>
      <vt:lpstr>Sheet5</vt:lpstr>
      <vt:lpstr>Sheet3</vt:lpstr>
      <vt:lpstr>ตัวอย่าง แบบ 01-68</vt:lpstr>
      <vt:lpstr>แบบ 02-68 </vt:lpstr>
      <vt:lpstr>ตัวอย่าง แบบ 02-68</vt:lpstr>
      <vt:lpstr>Sheet4</vt:lpstr>
      <vt:lpstr>แบบปรับใหม่ 62.1 (2)</vt:lpstr>
      <vt:lpstr>แบบปรับใหม่ 62.1</vt:lpstr>
      <vt:lpstr>เกษตรปลอดภัย</vt:lpstr>
      <vt:lpstr>Sheet1</vt:lpstr>
      <vt:lpstr>Sheet2</vt:lpstr>
      <vt:lpstr>'เงินกัน ปี 2568'!Print_Area</vt:lpstr>
      <vt:lpstr>เบิกจ่ายงบจว.!Print_Area</vt:lpstr>
      <vt:lpstr>'แบบ 01-68 (30-09- 68) (FINAL'!Print_Area</vt:lpstr>
      <vt:lpstr>ปะหน้าประเด็น!Print_Area</vt:lpstr>
      <vt:lpstr>'สนง.การท่องเที่ยว ปี 68'!Print_Area</vt:lpstr>
      <vt:lpstr>'เงินกัน ปี 2568'!Print_Titles</vt:lpstr>
      <vt:lpstr>เบิกจ่ายงบจว.!Print_Titles</vt:lpstr>
      <vt:lpstr>'แบบ 01-68 (30-09- 68) (FINAL'!Print_Titles</vt:lpstr>
      <vt:lpstr>'แบบปรับใหม่ 62.1'!Print_Titles</vt:lpstr>
      <vt:lpstr>'แบบปรับใหม่ 62.1 (2)'!Print_Titles</vt:lpstr>
      <vt:lpstr>ปะหน้าประเด็น!Print_Titles</vt:lpstr>
      <vt:lpstr>'สนง.การท่องเที่ยว ปี 68'!Print_Titles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DELL</cp:lastModifiedBy>
  <cp:lastPrinted>2025-10-21T07:04:11Z</cp:lastPrinted>
  <dcterms:created xsi:type="dcterms:W3CDTF">2018-05-02T06:23:16Z</dcterms:created>
  <dcterms:modified xsi:type="dcterms:W3CDTF">2026-06-11T02:13:15Z</dcterms:modified>
</cp:coreProperties>
</file>